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Trading\"/>
    </mc:Choice>
  </mc:AlternateContent>
  <bookViews>
    <workbookView xWindow="0" yWindow="4515" windowWidth="19035" windowHeight="8100"/>
  </bookViews>
  <sheets>
    <sheet name="Лист1" sheetId="1" r:id="rId1"/>
    <sheet name="Лист2" sheetId="2" r:id="rId2"/>
    <sheet name="Лист3" sheetId="3" r:id="rId3"/>
    <sheet name="Sestava kompatibility" sheetId="4" r:id="rId4"/>
  </sheets>
  <externalReferences>
    <externalReference r:id="rId5"/>
    <externalReference r:id="rId6"/>
  </externalReferences>
  <calcPr calcId="152511"/>
</workbook>
</file>

<file path=xl/calcChain.xml><?xml version="1.0" encoding="utf-8"?>
<calcChain xmlns="http://schemas.openxmlformats.org/spreadsheetml/2006/main">
  <c r="U15" i="1" l="1"/>
  <c r="U16" i="1"/>
  <c r="U17" i="1"/>
  <c r="U18" i="1"/>
  <c r="U19" i="1"/>
  <c r="U14" i="1"/>
  <c r="T14" i="1"/>
  <c r="R14" i="1"/>
  <c r="P14" i="1"/>
  <c r="N14" i="1"/>
  <c r="K14" i="1"/>
  <c r="S9" i="1"/>
  <c r="R9" i="1"/>
  <c r="P9" i="1"/>
  <c r="N9" i="1"/>
  <c r="K9" i="1"/>
  <c r="G22" i="1"/>
  <c r="G3" i="1"/>
  <c r="P4" i="1"/>
  <c r="G30" i="1"/>
  <c r="G29" i="1"/>
  <c r="G21" i="1"/>
  <c r="G20" i="1"/>
  <c r="G18" i="1"/>
  <c r="G19" i="1"/>
  <c r="G17" i="1"/>
  <c r="G15" i="1"/>
  <c r="G14" i="1"/>
  <c r="G10" i="1"/>
  <c r="G9" i="1"/>
  <c r="G8" i="1"/>
  <c r="G13" i="1"/>
  <c r="G12" i="1"/>
  <c r="G11" i="1"/>
  <c r="G26" i="1"/>
  <c r="P7" i="1"/>
  <c r="D30" i="1" l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D3" i="1"/>
  <c r="C4" i="1"/>
  <c r="H4" i="1" s="1"/>
  <c r="E4" i="1" l="1"/>
  <c r="C30" i="1"/>
  <c r="C29" i="1"/>
  <c r="C28" i="1"/>
  <c r="C27" i="1"/>
  <c r="C26" i="1"/>
  <c r="C25" i="1"/>
  <c r="C24" i="1"/>
  <c r="C23" i="1"/>
  <c r="C21" i="1"/>
  <c r="C20" i="1"/>
  <c r="C19" i="1"/>
  <c r="C18" i="1"/>
  <c r="C17" i="1"/>
  <c r="E30" i="1" l="1"/>
  <c r="E29" i="1"/>
  <c r="E17" i="1"/>
  <c r="E25" i="1"/>
  <c r="E21" i="1"/>
  <c r="E27" i="1"/>
  <c r="E19" i="1"/>
  <c r="E20" i="1"/>
  <c r="E23" i="1"/>
  <c r="E18" i="1"/>
  <c r="E28" i="1"/>
  <c r="F27" i="1"/>
  <c r="H27" i="1" s="1"/>
  <c r="E26" i="1"/>
  <c r="E24" i="1"/>
  <c r="F21" i="1"/>
  <c r="H21" i="1" s="1"/>
  <c r="F20" i="1"/>
  <c r="H20" i="1" s="1"/>
  <c r="C3" i="1"/>
  <c r="F3" i="1" l="1"/>
  <c r="H3" i="1" s="1"/>
  <c r="F25" i="1"/>
  <c r="H25" i="1" s="1"/>
  <c r="E3" i="1"/>
  <c r="C22" i="1"/>
  <c r="C16" i="1"/>
  <c r="H16" i="1" s="1"/>
  <c r="C15" i="1"/>
  <c r="C14" i="1"/>
  <c r="C13" i="1"/>
  <c r="C12" i="1"/>
  <c r="C11" i="1"/>
  <c r="C10" i="1"/>
  <c r="C9" i="1"/>
  <c r="C8" i="1"/>
  <c r="C7" i="1"/>
  <c r="H7" i="1" s="1"/>
  <c r="C6" i="1"/>
  <c r="H6" i="1" s="1"/>
  <c r="C5" i="1"/>
  <c r="G4" i="1" l="1"/>
  <c r="G6" i="1"/>
  <c r="E9" i="1"/>
  <c r="G16" i="1"/>
  <c r="E10" i="1"/>
  <c r="E13" i="1"/>
  <c r="F24" i="1"/>
  <c r="H24" i="1" s="1"/>
  <c r="E12" i="1"/>
  <c r="E8" i="1"/>
  <c r="G5" i="1"/>
  <c r="G7" i="1"/>
  <c r="F23" i="1"/>
  <c r="H23" i="1" s="1"/>
  <c r="F26" i="1"/>
  <c r="H26" i="1" s="1"/>
  <c r="F5" i="1"/>
  <c r="G27" i="1" s="1"/>
  <c r="F29" i="1"/>
  <c r="H29" i="1" s="1"/>
  <c r="F30" i="1"/>
  <c r="H30" i="1" s="1"/>
  <c r="E16" i="1"/>
  <c r="F28" i="1"/>
  <c r="H28" i="1" s="1"/>
  <c r="F17" i="1"/>
  <c r="H17" i="1" s="1"/>
  <c r="F18" i="1"/>
  <c r="H18" i="1" s="1"/>
  <c r="F19" i="1"/>
  <c r="H19" i="1" s="1"/>
  <c r="E15" i="1"/>
  <c r="F15" i="1"/>
  <c r="H15" i="1" s="1"/>
  <c r="E14" i="1"/>
  <c r="F14" i="1"/>
  <c r="H14" i="1" s="1"/>
  <c r="F13" i="1"/>
  <c r="H13" i="1" s="1"/>
  <c r="F12" i="1"/>
  <c r="H12" i="1" s="1"/>
  <c r="F9" i="1"/>
  <c r="H9" i="1" s="1"/>
  <c r="F10" i="1"/>
  <c r="H10" i="1" s="1"/>
  <c r="E7" i="1"/>
  <c r="F8" i="1"/>
  <c r="H8" i="1" s="1"/>
  <c r="E11" i="1"/>
  <c r="F11" i="1"/>
  <c r="H11" i="1" s="1"/>
  <c r="E6" i="1"/>
  <c r="E22" i="1"/>
  <c r="F22" i="1"/>
  <c r="H22" i="1" s="1"/>
  <c r="E5" i="1"/>
  <c r="G23" i="1" l="1"/>
  <c r="H5" i="1"/>
  <c r="K5" i="1"/>
  <c r="P5" i="1" s="1"/>
  <c r="G28" i="1"/>
  <c r="G25" i="1"/>
  <c r="G24" i="1"/>
  <c r="K3" i="1" s="1"/>
  <c r="P3" i="1" l="1"/>
  <c r="R3" i="1"/>
  <c r="K8" i="1"/>
  <c r="N8" i="1" s="1"/>
  <c r="R5" i="1"/>
  <c r="K7" i="1"/>
  <c r="K6" i="1"/>
  <c r="N5" i="1"/>
  <c r="K4" i="1"/>
  <c r="R4" i="1" s="1"/>
  <c r="R8" i="1" l="1"/>
  <c r="P8" i="1"/>
  <c r="N3" i="1"/>
  <c r="N7" i="1"/>
  <c r="R7" i="1"/>
  <c r="P6" i="1"/>
  <c r="R6" i="1"/>
  <c r="N6" i="1"/>
  <c r="S5" i="1"/>
  <c r="N4" i="1"/>
  <c r="S8" i="1" l="1"/>
  <c r="S6" i="1"/>
  <c r="S7" i="1"/>
  <c r="S4" i="1"/>
  <c r="S3" i="1"/>
</calcChain>
</file>

<file path=xl/sharedStrings.xml><?xml version="1.0" encoding="utf-8"?>
<sst xmlns="http://schemas.openxmlformats.org/spreadsheetml/2006/main" count="107" uniqueCount="68">
  <si>
    <t>Symbol</t>
  </si>
  <si>
    <t>Bid</t>
  </si>
  <si>
    <t>USDCHF</t>
  </si>
  <si>
    <t>GBPUSD</t>
  </si>
  <si>
    <t>USDJPY</t>
  </si>
  <si>
    <t>EURUSD</t>
  </si>
  <si>
    <t>DATA</t>
  </si>
  <si>
    <t>AUDUSD</t>
  </si>
  <si>
    <t>AUDCAD</t>
  </si>
  <si>
    <t>AUDCHF</t>
  </si>
  <si>
    <t>AUDNZD</t>
  </si>
  <si>
    <t>EURAUD</t>
  </si>
  <si>
    <t>EURCHF</t>
  </si>
  <si>
    <t>EURGBP</t>
  </si>
  <si>
    <t>GBPAUD</t>
  </si>
  <si>
    <t>GBPCHF</t>
  </si>
  <si>
    <t>NZDUSD</t>
  </si>
  <si>
    <t>CADCHF</t>
  </si>
  <si>
    <t>EURNZD</t>
  </si>
  <si>
    <t>EURCAD</t>
  </si>
  <si>
    <t>GBPCAD</t>
  </si>
  <si>
    <t>GBPNZD</t>
  </si>
  <si>
    <t>USDCAD</t>
  </si>
  <si>
    <t>AUDJPY</t>
  </si>
  <si>
    <t>CADJPY</t>
  </si>
  <si>
    <t>CHFJPY</t>
  </si>
  <si>
    <t>EURJPY</t>
  </si>
  <si>
    <t>GBPJPY</t>
  </si>
  <si>
    <t>NZDJPY</t>
  </si>
  <si>
    <t>NZDCAD</t>
  </si>
  <si>
    <t>NZDCHF</t>
  </si>
  <si>
    <t>Sestava kompatibility pro SOK_Kalkulačka.xls</t>
  </si>
  <si>
    <t>Spustit: 4.2.2015 8:06</t>
  </si>
  <si>
    <t>Následující funkce sešitu nejsou podporovány dřívějšími verzemi aplikace Excel. V případě otevření sešitu v dřívější verzi aplikace Excel nebo v případě uložení sešitu v dřívějším formátu souborů může dojít ke ztrátě nebo omezení uvedených funkcí.</t>
  </si>
  <si>
    <t>Nevýznamná ztráta věrnosti</t>
  </si>
  <si>
    <t>Počet výskytů</t>
  </si>
  <si>
    <t>Verze</t>
  </si>
  <si>
    <t>Některé buňky nebo styly tohoto sešitu obsahují formátování, které není ve vybraném formátu souborů podporováno. Tyto formáty budou převedeny na nejbližší odpovídající formát, který je k dispozici.</t>
  </si>
  <si>
    <t>Excel 97–2003</t>
  </si>
  <si>
    <t>Pip Value</t>
  </si>
  <si>
    <t>Ask</t>
  </si>
  <si>
    <t>Spread</t>
  </si>
  <si>
    <t>Kouzelná formulka + PV</t>
  </si>
  <si>
    <t>Loty</t>
  </si>
  <si>
    <t>TROJKA</t>
  </si>
  <si>
    <t>Pár 1</t>
  </si>
  <si>
    <t>Pár 2</t>
  </si>
  <si>
    <t>Pár 3</t>
  </si>
  <si>
    <t>USD, EUR, GBP</t>
  </si>
  <si>
    <t>USD, EUR, JPY</t>
  </si>
  <si>
    <t>USD, GBP, JPY</t>
  </si>
  <si>
    <t>Měny</t>
  </si>
  <si>
    <t>Kontrola</t>
  </si>
  <si>
    <t>Nuvacikův koeficient</t>
  </si>
  <si>
    <t>USD, AUD, JPY</t>
  </si>
  <si>
    <t>USD, NZD, JPY</t>
  </si>
  <si>
    <t>USD, CAD, JPY</t>
  </si>
  <si>
    <t>USD, CHF, JPY</t>
  </si>
  <si>
    <t>Součet</t>
  </si>
  <si>
    <t>ČTYŘKA</t>
  </si>
  <si>
    <t>Pár 4</t>
  </si>
  <si>
    <t>USD, EUR, GBP, JPY</t>
  </si>
  <si>
    <t>Propojení SOK kalkulačky s MT4</t>
  </si>
  <si>
    <t xml:space="preserve">Otevřete MetaTrader 4 a zapněte funkci DDE Server (Nástroje/Nastavení/Server/Zapnout DDE server) </t>
  </si>
  <si>
    <t>Restartujte MetaTrader 4</t>
  </si>
  <si>
    <t>Otevřete znovu tento sešit a potvrďte aktualizaci dat</t>
  </si>
  <si>
    <t>Pokud se vám nezobrazují některé páry, musíte si je přidat v MetaTraderu v okně "Trh" a znovu sešit tento otevřít.</t>
  </si>
  <si>
    <t>Pro správnou funkci SOK kalkulačky je třeba používat pro oddělování desetinných čísel tečku místo čárky. Z tohoto důvodu se musí změnit nastavení Windows, viz návod. http://www.excelentnitriky.com/2013/09/nastaveni-typu-oddelovace-stredniky.html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</si>
</sst>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\ [$USD]"/>
    <numFmt numFmtId="165" formatCode="0.00000"/>
    <numFmt numFmtId="166" formatCode="0.000"/>
    <numFmt numFmtId="167" formatCode="0.0"/>
  </numFmts>
  <fonts count="14">
    <font>
      <sz val="10"/>
      <name val="Arial Cyr"/>
      <charset val="204"/>
    </font>
    <font>
      <sz val="11"/>
      <color theme="1"/>
      <name val="Calibri"/>
      <family val="2"/>
      <charset val="238"/>
      <scheme val="minor"/>
    </font>
    <font>
      <b/>
      <sz val="18"/>
      <color indexed="8"/>
      <name val="Arial"/>
      <family val="2"/>
    </font>
    <font>
      <sz val="8"/>
      <name val="Arial Cyr"/>
      <charset val="204"/>
    </font>
    <font>
      <sz val="11"/>
      <name val="Arial"/>
      <family val="2"/>
      <charset val="238"/>
    </font>
    <font>
      <b/>
      <sz val="10"/>
      <name val="Arial Cyr"/>
      <charset val="204"/>
    </font>
    <font>
      <sz val="11"/>
      <color theme="0"/>
      <name val="Calibri"/>
      <family val="2"/>
      <charset val="238"/>
      <scheme val="minor"/>
    </font>
    <font>
      <b/>
      <sz val="11"/>
      <color theme="0"/>
      <name val="Arial"/>
      <family val="2"/>
      <charset val="238"/>
    </font>
    <font>
      <b/>
      <sz val="15"/>
      <color theme="3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b/>
      <sz val="11"/>
      <color rgb="FF9C6500"/>
      <name val="Calibri"/>
      <family val="2"/>
      <charset val="238"/>
      <scheme val="minor"/>
    </font>
    <font>
      <sz val="10"/>
      <name val="Arial Cyr"/>
      <charset val="238"/>
    </font>
    <font>
      <b/>
      <sz val="11"/>
      <color rgb="FF9C0006"/>
      <name val="Calibri"/>
      <family val="2"/>
      <charset val="238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theme="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9" tint="0.59999389629810485"/>
        <bgColor indexed="65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thick">
        <color theme="4"/>
      </bottom>
      <diagonal/>
    </border>
  </borders>
  <cellStyleXfs count="12">
    <xf numFmtId="0" fontId="0" fillId="0" borderId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8" fillId="0" borderId="6" applyNumberFormat="0" applyFill="0" applyAlignment="0" applyProtection="0"/>
    <xf numFmtId="0" fontId="9" fillId="9" borderId="0" applyNumberFormat="0" applyBorder="0" applyAlignment="0" applyProtection="0"/>
    <xf numFmtId="0" fontId="10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</cellStyleXfs>
  <cellXfs count="46">
    <xf numFmtId="0" fontId="0" fillId="0" borderId="0" xfId="0"/>
    <xf numFmtId="49" fontId="7" fillId="3" borderId="2" xfId="1" applyNumberFormat="1" applyFont="1" applyBorder="1"/>
    <xf numFmtId="49" fontId="7" fillId="5" borderId="2" xfId="3" applyNumberFormat="1" applyFont="1" applyBorder="1"/>
    <xf numFmtId="49" fontId="7" fillId="7" borderId="2" xfId="5" applyNumberFormat="1" applyFont="1" applyBorder="1"/>
    <xf numFmtId="49" fontId="7" fillId="6" borderId="2" xfId="4" applyNumberFormat="1" applyFont="1" applyBorder="1"/>
    <xf numFmtId="49" fontId="7" fillId="4" borderId="2" xfId="2" applyNumberFormat="1" applyFont="1" applyBorder="1"/>
    <xf numFmtId="0" fontId="4" fillId="0" borderId="2" xfId="0" applyFont="1" applyBorder="1"/>
    <xf numFmtId="0" fontId="5" fillId="0" borderId="0" xfId="0" applyNumberFormat="1" applyFont="1" applyAlignment="1">
      <alignment vertical="top" wrapText="1"/>
    </xf>
    <xf numFmtId="0" fontId="0" fillId="0" borderId="0" xfId="0" applyNumberFormat="1" applyAlignment="1">
      <alignment vertical="top" wrapText="1"/>
    </xf>
    <xf numFmtId="0" fontId="0" fillId="0" borderId="3" xfId="0" applyNumberFormat="1" applyBorder="1" applyAlignment="1">
      <alignment vertical="top" wrapText="1"/>
    </xf>
    <xf numFmtId="0" fontId="0" fillId="0" borderId="4" xfId="0" applyNumberFormat="1" applyBorder="1" applyAlignment="1">
      <alignment vertical="top" wrapText="1"/>
    </xf>
    <xf numFmtId="0" fontId="5" fillId="0" borderId="0" xfId="0" applyNumberFormat="1" applyFont="1" applyAlignment="1">
      <alignment horizontal="center" vertical="top" wrapText="1"/>
    </xf>
    <xf numFmtId="0" fontId="0" fillId="0" borderId="0" xfId="0" applyNumberFormat="1" applyAlignment="1">
      <alignment horizontal="center" vertical="top" wrapText="1"/>
    </xf>
    <xf numFmtId="0" fontId="0" fillId="0" borderId="4" xfId="0" applyNumberFormat="1" applyBorder="1" applyAlignment="1">
      <alignment horizontal="center" vertical="top" wrapText="1"/>
    </xf>
    <xf numFmtId="0" fontId="0" fillId="0" borderId="5" xfId="0" applyNumberFormat="1" applyBorder="1" applyAlignment="1">
      <alignment horizontal="center" vertical="top" wrapText="1"/>
    </xf>
    <xf numFmtId="0" fontId="7" fillId="8" borderId="2" xfId="6" applyFont="1" applyBorder="1" applyAlignment="1">
      <alignment vertical="center"/>
    </xf>
    <xf numFmtId="0" fontId="7" fillId="8" borderId="2" xfId="6" applyFont="1" applyBorder="1" applyAlignment="1">
      <alignment horizontal="right" vertical="center"/>
    </xf>
    <xf numFmtId="0" fontId="7" fillId="8" borderId="2" xfId="6" applyFont="1" applyBorder="1"/>
    <xf numFmtId="0" fontId="7" fillId="8" borderId="2" xfId="6" applyFont="1" applyBorder="1" applyAlignment="1">
      <alignment horizontal="right"/>
    </xf>
    <xf numFmtId="164" fontId="4" fillId="0" borderId="2" xfId="0" applyNumberFormat="1" applyFont="1" applyBorder="1"/>
    <xf numFmtId="165" fontId="0" fillId="0" borderId="0" xfId="0" applyNumberFormat="1"/>
    <xf numFmtId="0" fontId="2" fillId="2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4" fillId="0" borderId="2" xfId="0" applyNumberFormat="1" applyFont="1" applyFill="1" applyBorder="1" applyAlignment="1">
      <alignment horizontal="right"/>
    </xf>
    <xf numFmtId="165" fontId="4" fillId="0" borderId="2" xfId="0" applyNumberFormat="1" applyFont="1" applyBorder="1" applyAlignment="1">
      <alignment horizontal="right"/>
    </xf>
    <xf numFmtId="166" fontId="4" fillId="0" borderId="2" xfId="0" applyNumberFormat="1" applyFont="1" applyBorder="1" applyAlignment="1">
      <alignment horizontal="right"/>
    </xf>
    <xf numFmtId="167" fontId="4" fillId="0" borderId="2" xfId="0" applyNumberFormat="1" applyFont="1" applyFill="1" applyBorder="1" applyAlignment="1">
      <alignment horizontal="right"/>
    </xf>
    <xf numFmtId="0" fontId="0" fillId="0" borderId="2" xfId="0" applyBorder="1"/>
    <xf numFmtId="166" fontId="0" fillId="0" borderId="2" xfId="0" applyNumberFormat="1" applyBorder="1"/>
    <xf numFmtId="2" fontId="0" fillId="0" borderId="2" xfId="0" applyNumberFormat="1" applyBorder="1"/>
    <xf numFmtId="0" fontId="11" fillId="10" borderId="2" xfId="9" applyFont="1" applyBorder="1"/>
    <xf numFmtId="166" fontId="1" fillId="11" borderId="2" xfId="10" applyNumberFormat="1" applyBorder="1"/>
    <xf numFmtId="166" fontId="1" fillId="12" borderId="2" xfId="11" applyNumberFormat="1" applyBorder="1"/>
    <xf numFmtId="0" fontId="8" fillId="2" borderId="0" xfId="7" applyFill="1" applyBorder="1" applyAlignment="1">
      <alignment horizontal="center" vertical="center"/>
    </xf>
    <xf numFmtId="0" fontId="8" fillId="0" borderId="0" xfId="7" applyBorder="1" applyAlignment="1">
      <alignment horizontal="center" vertical="center"/>
    </xf>
    <xf numFmtId="0" fontId="9" fillId="9" borderId="2" xfId="8" applyBorder="1"/>
    <xf numFmtId="4" fontId="0" fillId="0" borderId="2" xfId="0" applyNumberFormat="1" applyBorder="1"/>
    <xf numFmtId="0" fontId="8" fillId="0" borderId="6" xfId="7" applyAlignment="1">
      <alignment horizontal="center" vertical="center"/>
    </xf>
    <xf numFmtId="2" fontId="12" fillId="0" borderId="2" xfId="0" applyNumberFormat="1" applyFont="1" applyBorder="1"/>
    <xf numFmtId="0" fontId="12" fillId="0" borderId="2" xfId="0" applyFont="1" applyBorder="1"/>
    <xf numFmtId="0" fontId="0" fillId="0" borderId="0" xfId="0" applyAlignment="1"/>
    <xf numFmtId="0" fontId="13" fillId="9" borderId="2" xfId="8" applyFont="1" applyBorder="1" applyAlignment="1">
      <alignment horizontal="center" vertical="center"/>
    </xf>
    <xf numFmtId="0" fontId="9" fillId="9" borderId="2" xfId="8" applyBorder="1" applyAlignment="1"/>
    <xf numFmtId="0" fontId="9" fillId="9" borderId="2" xfId="8" applyBorder="1" applyAlignment="1">
      <alignment horizontal="left"/>
    </xf>
    <xf numFmtId="0" fontId="9" fillId="9" borderId="2" xfId="8" applyBorder="1" applyAlignment="1">
      <alignment horizontal="right" vertical="center"/>
    </xf>
    <xf numFmtId="0" fontId="9" fillId="9" borderId="2" xfId="8" applyBorder="1" applyAlignment="1">
      <alignment horizontal="left" vertical="top" wrapText="1"/>
    </xf>
  </cellXfs>
  <cellStyles count="12">
    <cellStyle name="40 % – Zvýraznění1" xfId="10" builtinId="31"/>
    <cellStyle name="40 % – Zvýraznění6" xfId="11" builtinId="51"/>
    <cellStyle name="Chybně" xfId="8" builtinId="27"/>
    <cellStyle name="Nadpis 1" xfId="7" builtinId="16"/>
    <cellStyle name="Neutrální" xfId="9" builtinId="28"/>
    <cellStyle name="Normální" xfId="0" builtinId="0"/>
    <cellStyle name="Zvýraznění 1" xfId="6" builtinId="29"/>
    <cellStyle name="Zvýraznění 2" xfId="1" builtinId="33"/>
    <cellStyle name="Zvýraznění 3" xfId="2" builtinId="37"/>
    <cellStyle name="Zvýraznění 4" xfId="3" builtinId="41"/>
    <cellStyle name="Zvýraznění 5" xfId="4" builtinId="45"/>
    <cellStyle name="Zvýraznění 6" xfId="5" builtinId="4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ddeLink xmlns:r="http://schemas.openxmlformats.org/officeDocument/2006/relationships" ddeService="MT4" ddeTopic="BID">
    <ddeItems>
      <ddeItem name="AUDCAD" advise="1">
        <values>
          <value>
            <val>0.98087999999999997</val>
          </value>
        </values>
      </ddeItem>
      <ddeItem name="AUDCHF" advise="1">
        <values>
          <value>
            <val>0.73948999999999998</val>
          </value>
        </values>
      </ddeItem>
      <ddeItem name="AUDJPY" advise="1">
        <values>
          <value>
            <val>92.647000000000006</val>
          </value>
        </values>
      </ddeItem>
      <ddeItem name="AUDNZD" advise="1">
        <values>
          <value>
            <val>1.03559</val>
          </value>
        </values>
      </ddeItem>
      <ddeItem name="AUDUSD" advise="1">
        <values>
          <value>
            <val>0.77908999999999995</val>
          </value>
        </values>
      </ddeItem>
      <ddeItem name="CADCHF" advise="1">
        <values>
          <value>
            <val>0.75385999999999997</val>
          </value>
        </values>
      </ddeItem>
      <ddeItem name="CADJPY" advise="1">
        <values>
          <value>
            <val>94.445999999999998</val>
          </value>
        </values>
      </ddeItem>
      <ddeItem name="EURAUD" advise="1">
        <values>
          <value>
            <val>1.45482</val>
          </value>
        </values>
      </ddeItem>
      <ddeItem name="EURCAD" advise="1">
        <values>
          <value>
            <val>1.42713</val>
          </value>
        </values>
      </ddeItem>
      <ddeItem name="EURGBP" advise="1">
        <values>
          <value>
            <val>0.73458999999999997</val>
          </value>
        </values>
      </ddeItem>
      <ddeItem name="EURCHF" advise="1">
        <values>
          <value>
            <val>1.0758700000000001</val>
          </value>
        </values>
      </ddeItem>
      <ddeItem name="EURJPY" advise="1">
        <values>
          <value>
            <val>134.79300000000001</val>
          </value>
        </values>
      </ddeItem>
      <ddeItem name="EURNZD" advise="1">
        <values>
          <value>
            <val>1.50674</val>
          </value>
        </values>
      </ddeItem>
      <ddeItem name="EURUSD" advise="1">
        <values>
          <value>
            <val>1.1335200000000001</val>
          </value>
        </values>
      </ddeItem>
      <ddeItem name="GBPAUD" advise="1">
        <values>
          <value>
            <val>1.98041</val>
          </value>
        </values>
      </ddeItem>
      <ddeItem name="GBPCAD" advise="1">
        <values>
          <value>
            <val>1.9427099999999999</val>
          </value>
        </values>
      </ddeItem>
      <ddeItem name="GBPCHF" advise="1">
        <values>
          <value>
            <val>1.4645699999999999</val>
          </value>
        </values>
      </ddeItem>
      <ddeItem name="GBPJPY" advise="1">
        <values>
          <value>
            <val>183.488</val>
          </value>
        </values>
      </ddeItem>
      <ddeItem name="GBPNZD" advise="1">
        <values>
          <value>
            <val>2.0510600000000001</val>
          </value>
        </values>
      </ddeItem>
      <ddeItem name="GBPUSD" advise="1">
        <values>
          <value>
            <val>1.5430200000000001</val>
          </value>
        </values>
      </ddeItem>
      <ddeItem name="CHFJPY" advise="1">
        <values>
          <value>
            <val>125.267</val>
          </value>
        </values>
      </ddeItem>
      <ddeItem name="NZDCAD" advise="1">
        <values>
          <value>
            <val>0.94706999999999997</val>
          </value>
        </values>
      </ddeItem>
      <ddeItem name="NZDCHF" advise="1">
        <values>
          <value>
            <val>0.71406000000000003</val>
          </value>
        </values>
      </ddeItem>
      <ddeItem name="NZDJPY" advise="1">
        <values>
          <value>
            <val>89.448999999999998</val>
          </value>
        </values>
      </ddeItem>
      <ddeItem name="NZDUSD" advise="1">
        <values>
          <value>
            <val>0.75224000000000002</val>
          </value>
        </values>
      </ddeItem>
      <ddeItem name="StdDocumentName" ole="1" advise="1"/>
      <ddeItem name="USDCAD" advise="1">
        <values>
          <value>
            <val>1.25901</val>
          </value>
        </values>
      </ddeItem>
      <ddeItem name="USDCHF" advise="1">
        <values>
          <value>
            <val>0.94913999999999998</val>
          </value>
        </values>
      </ddeItem>
      <ddeItem name="USDJPY" advise="1">
        <values>
          <value>
            <val>118.91500000000001</val>
          </value>
        </values>
      </ddeItem>
    </ddeItems>
  </ddeLin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ddeLink xmlns:r="http://schemas.openxmlformats.org/officeDocument/2006/relationships" ddeService="MT4" ddeTopic="ASK">
    <ddeItems>
      <ddeItem name="AUDCAD" advise="1">
        <values>
          <value>
            <val>0.98101000000000005</val>
          </value>
        </values>
      </ddeItem>
      <ddeItem name="AUDCHF" advise="1">
        <values>
          <value>
            <val>0.73967000000000005</val>
          </value>
        </values>
      </ddeItem>
      <ddeItem name="AUDJPY" advise="1">
        <values>
          <value>
            <val>92.653000000000006</val>
          </value>
        </values>
      </ddeItem>
      <ddeItem name="AUDNZD" advise="1">
        <values>
          <value>
            <val>1.0357799999999999</val>
          </value>
        </values>
      </ddeItem>
      <ddeItem name="AUDUSD" advise="1">
        <values>
          <value>
            <val>0.77914000000000005</val>
          </value>
        </values>
      </ddeItem>
      <ddeItem name="CADCHF" advise="1">
        <values>
          <value>
            <val>0.754</val>
          </value>
        </values>
      </ddeItem>
      <ddeItem name="CADJPY" advise="1">
        <values>
          <value>
            <val>94.451999999999998</val>
          </value>
        </values>
      </ddeItem>
      <ddeItem name="EURAUD" advise="1">
        <values>
          <value>
            <val>1.4549700000000001</val>
          </value>
        </values>
      </ddeItem>
      <ddeItem name="EURCAD" advise="1">
        <values>
          <value>
            <val>1.4272400000000001</val>
          </value>
        </values>
      </ddeItem>
      <ddeItem name="EURGBP" advise="1">
        <values>
          <value>
            <val>0.73460999999999999</val>
          </value>
        </values>
      </ddeItem>
      <ddeItem name="EURCHF" advise="1">
        <values>
          <value>
            <val>1.07605</val>
          </value>
        </values>
      </ddeItem>
      <ddeItem name="EURJPY" advise="1">
        <values>
          <value>
            <val>134.80099999999999</val>
          </value>
        </values>
      </ddeItem>
      <ddeItem name="EURNZD" advise="1">
        <values>
          <value>
            <val>1.50692</val>
          </value>
        </values>
      </ddeItem>
      <ddeItem name="EURUSD" advise="1">
        <values>
          <value>
            <val>1.1335500000000001</val>
          </value>
        </values>
      </ddeItem>
      <ddeItem name="GBPAUD" advise="1">
        <values>
          <value>
            <val>1.98061</val>
          </value>
        </values>
      </ddeItem>
      <ddeItem name="GBPCAD" advise="1">
        <values>
          <value>
            <val>1.9429099999999999</val>
          </value>
        </values>
      </ddeItem>
      <ddeItem name="GBPCHF" advise="1">
        <values>
          <value>
            <val>1.4648099999999999</val>
          </value>
        </values>
      </ddeItem>
      <ddeItem name="GBPJPY" advise="1">
        <values>
          <value>
            <val>183.499</val>
          </value>
        </values>
      </ddeItem>
      <ddeItem name="GBPNZD" advise="1">
        <values>
          <value>
            <val>2.05131</val>
          </value>
        </values>
      </ddeItem>
      <ddeItem name="GBPUSD" advise="1">
        <values>
          <value>
            <val>1.5430900000000001</val>
          </value>
        </values>
      </ddeItem>
      <ddeItem name="CHFJPY" advise="1">
        <values>
          <value>
            <val>125.285</val>
          </value>
        </values>
      </ddeItem>
      <ddeItem name="NZDCAD" advise="1">
        <values>
          <value>
            <val>0.94725999999999999</val>
          </value>
        </values>
      </ddeItem>
      <ddeItem name="NZDCHF" advise="1">
        <values>
          <value>
            <val>0.71423000000000003</val>
          </value>
        </values>
      </ddeItem>
      <ddeItem name="NZDJPY" advise="1">
        <values>
          <value>
            <val>89.465000000000003</val>
          </value>
        </values>
      </ddeItem>
      <ddeItem name="NZDUSD" advise="1">
        <values>
          <value>
            <val>0.75231000000000003</val>
          </value>
        </values>
      </ddeItem>
      <ddeItem name="StdDocumentName" ole="1" advise="1"/>
      <ddeItem name="USDCAD" advise="1">
        <values>
          <value>
            <val>1.2590699999999999</val>
          </value>
        </values>
      </ddeItem>
      <ddeItem name="USDCHF" advise="1">
        <values>
          <value>
            <val>0.94930999999999999</val>
          </value>
        </values>
      </ddeItem>
      <ddeItem name="USDJPY" advise="1">
        <values>
          <value>
            <val>118.917</val>
          </value>
        </values>
      </ddeItem>
    </ddeItems>
  </ddeLin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ntry="1" codeName="Лист1"/>
  <dimension ref="A1:U40"/>
  <sheetViews>
    <sheetView tabSelected="1" workbookViewId="0">
      <selection activeCell="F45" sqref="F45"/>
    </sheetView>
  </sheetViews>
  <sheetFormatPr defaultRowHeight="12.75"/>
  <cols>
    <col min="1" max="1" width="4.7109375" customWidth="1"/>
    <col min="2" max="2" width="11.5703125" customWidth="1"/>
    <col min="3" max="5" width="11.42578125" customWidth="1"/>
    <col min="6" max="6" width="17.5703125" customWidth="1"/>
    <col min="7" max="7" width="27.42578125" customWidth="1"/>
    <col min="8" max="8" width="24" customWidth="1"/>
    <col min="9" max="9" width="8.28515625" customWidth="1"/>
    <col min="10" max="10" width="6.7109375" customWidth="1"/>
    <col min="11" max="11" width="8.7109375" customWidth="1"/>
    <col min="12" max="12" width="20.7109375" customWidth="1"/>
    <col min="13" max="13" width="10.7109375" customWidth="1"/>
    <col min="14" max="14" width="6.7109375" customWidth="1"/>
    <col min="15" max="15" width="10.7109375" customWidth="1"/>
    <col min="16" max="16" width="6.7109375" customWidth="1"/>
    <col min="17" max="17" width="10.7109375" customWidth="1"/>
    <col min="18" max="18" width="6.7109375" customWidth="1"/>
    <col min="19" max="19" width="10.7109375" customWidth="1"/>
    <col min="20" max="20" width="6.7109375" customWidth="1"/>
    <col min="21" max="21" width="10.7109375" customWidth="1"/>
    <col min="22" max="22" width="18.85546875" customWidth="1"/>
  </cols>
  <sheetData>
    <row r="1" spans="1:21" ht="23.25">
      <c r="A1" s="33" t="s">
        <v>6</v>
      </c>
      <c r="B1" s="33"/>
      <c r="C1" s="33"/>
      <c r="D1" s="33"/>
      <c r="E1" s="33"/>
      <c r="F1" s="33"/>
      <c r="G1" s="33"/>
      <c r="H1" s="22"/>
      <c r="I1" s="21"/>
      <c r="J1" s="34" t="s">
        <v>44</v>
      </c>
      <c r="K1" s="34"/>
      <c r="L1" s="34"/>
      <c r="M1" s="34"/>
      <c r="N1" s="34"/>
      <c r="O1" s="34"/>
      <c r="P1" s="34"/>
      <c r="Q1" s="34"/>
      <c r="R1" s="34"/>
    </row>
    <row r="2" spans="1:21" ht="15">
      <c r="A2" s="6"/>
      <c r="B2" s="15" t="s">
        <v>0</v>
      </c>
      <c r="C2" s="16" t="s">
        <v>1</v>
      </c>
      <c r="D2" s="16" t="s">
        <v>40</v>
      </c>
      <c r="E2" s="16" t="s">
        <v>41</v>
      </c>
      <c r="F2" s="18" t="s">
        <v>39</v>
      </c>
      <c r="G2" s="18" t="s">
        <v>42</v>
      </c>
      <c r="H2" s="18" t="s">
        <v>53</v>
      </c>
      <c r="J2" s="17" t="s">
        <v>43</v>
      </c>
      <c r="K2" s="17" t="s">
        <v>58</v>
      </c>
      <c r="L2" s="17" t="s">
        <v>51</v>
      </c>
      <c r="M2" s="17" t="s">
        <v>45</v>
      </c>
      <c r="N2" s="17" t="s">
        <v>43</v>
      </c>
      <c r="O2" s="17" t="s">
        <v>46</v>
      </c>
      <c r="P2" s="17" t="s">
        <v>43</v>
      </c>
      <c r="Q2" s="17" t="s">
        <v>47</v>
      </c>
      <c r="R2" s="17" t="s">
        <v>43</v>
      </c>
      <c r="S2" s="17" t="s">
        <v>52</v>
      </c>
    </row>
    <row r="3" spans="1:21" ht="15">
      <c r="A3" s="6">
        <v>1</v>
      </c>
      <c r="B3" s="1" t="s">
        <v>2</v>
      </c>
      <c r="C3" s="23">
        <f>[1]!USDCHF</f>
        <v>0.94913999999999998</v>
      </c>
      <c r="D3" s="23">
        <f>[2]!USDCHF</f>
        <v>0.94930999999999999</v>
      </c>
      <c r="E3" s="26">
        <f>(D3-C3)*10000</f>
        <v>1.7000000000000348</v>
      </c>
      <c r="F3" s="19">
        <f>10/C3</f>
        <v>10.535853509492805</v>
      </c>
      <c r="G3" s="32">
        <f>(C5/10)/C3*(10/F3)</f>
        <v>11.891500000000001</v>
      </c>
      <c r="H3" s="31">
        <f>1000/(C3*F3)</f>
        <v>100</v>
      </c>
      <c r="I3" s="20"/>
      <c r="J3" s="29">
        <v>1</v>
      </c>
      <c r="K3" s="28">
        <f>G22+G24+G5</f>
        <v>38.755341046735701</v>
      </c>
      <c r="L3" s="38" t="s">
        <v>56</v>
      </c>
      <c r="M3" s="30" t="s">
        <v>22</v>
      </c>
      <c r="N3" s="29">
        <f>(G22/K3)*J3</f>
        <v>0.30683512720633388</v>
      </c>
      <c r="O3" s="30" t="s">
        <v>24</v>
      </c>
      <c r="P3" s="36">
        <f>(G24/K3)*J3</f>
        <v>0.3863297455873323</v>
      </c>
      <c r="Q3" s="30" t="s">
        <v>4</v>
      </c>
      <c r="R3" s="29">
        <f>(G5/K3)*J3</f>
        <v>0.30683512720633388</v>
      </c>
      <c r="S3" s="29">
        <f>N3+P3+R3</f>
        <v>1</v>
      </c>
    </row>
    <row r="4" spans="1:21" ht="15">
      <c r="A4" s="6">
        <v>2</v>
      </c>
      <c r="B4" s="1" t="s">
        <v>3</v>
      </c>
      <c r="C4" s="23">
        <f>[1]!GBPUSD</f>
        <v>1.5430200000000001</v>
      </c>
      <c r="D4" s="23">
        <f>[2]!GBPUSD</f>
        <v>1.5430900000000001</v>
      </c>
      <c r="E4" s="26">
        <f t="shared" ref="E4:E30" si="0">(D4-C4)*10000</f>
        <v>0.70000000000014495</v>
      </c>
      <c r="F4" s="19">
        <v>10</v>
      </c>
      <c r="G4" s="32">
        <f>(C5/10)/C4</f>
        <v>7.7066402250132855</v>
      </c>
      <c r="H4" s="31">
        <f t="shared" ref="H4:H30" si="1">1000/(C4*F4)</f>
        <v>64.807973973117655</v>
      </c>
      <c r="I4" s="20"/>
      <c r="J4" s="29">
        <v>1</v>
      </c>
      <c r="K4" s="28">
        <f>G6+G26+G5</f>
        <v>32.873007698992332</v>
      </c>
      <c r="L4" s="38" t="s">
        <v>49</v>
      </c>
      <c r="M4" s="30" t="s">
        <v>5</v>
      </c>
      <c r="N4" s="29">
        <f>(G6/K4)*J4</f>
        <v>0.31913027868286431</v>
      </c>
      <c r="O4" s="30" t="s">
        <v>26</v>
      </c>
      <c r="P4" s="36">
        <f>(G26/K4)*J4</f>
        <v>0.31912916782453521</v>
      </c>
      <c r="Q4" s="30" t="s">
        <v>4</v>
      </c>
      <c r="R4" s="29">
        <f>(G5/K4)*J4</f>
        <v>0.36174055349260043</v>
      </c>
      <c r="S4" s="29">
        <f t="shared" ref="S4:S7" si="2">N4+P4+R4</f>
        <v>1</v>
      </c>
    </row>
    <row r="5" spans="1:21" ht="15">
      <c r="A5" s="6">
        <v>3</v>
      </c>
      <c r="B5" s="1" t="s">
        <v>4</v>
      </c>
      <c r="C5" s="25">
        <f>[1]!USDJPY</f>
        <v>118.91500000000001</v>
      </c>
      <c r="D5" s="25">
        <f>[2]!USDJPY</f>
        <v>118.917</v>
      </c>
      <c r="E5" s="26">
        <f>(D5-C5)*100</f>
        <v>0.19999999999953388</v>
      </c>
      <c r="F5" s="19">
        <f>1000/C5</f>
        <v>8.4093680359920953</v>
      </c>
      <c r="G5" s="32">
        <f>C5/10</f>
        <v>11.891500000000001</v>
      </c>
      <c r="H5" s="31">
        <f>100000/(C5*F5)</f>
        <v>99.999999999999986</v>
      </c>
      <c r="I5" s="20"/>
      <c r="J5" s="29">
        <v>1</v>
      </c>
      <c r="K5" s="28">
        <f>G4+G27+G5</f>
        <v>27.30478982880209</v>
      </c>
      <c r="L5" s="38" t="s">
        <v>50</v>
      </c>
      <c r="M5" s="30" t="s">
        <v>3</v>
      </c>
      <c r="N5" s="29">
        <f>(G4/K5)*J5</f>
        <v>0.28224499339980413</v>
      </c>
      <c r="O5" s="30" t="s">
        <v>27</v>
      </c>
      <c r="P5" s="36">
        <f>(G27/K5)*J5</f>
        <v>0.28224533688442999</v>
      </c>
      <c r="Q5" s="30" t="s">
        <v>4</v>
      </c>
      <c r="R5" s="29">
        <f>(G5/K5)*J5</f>
        <v>0.43550966971576582</v>
      </c>
      <c r="S5" s="29">
        <f t="shared" si="2"/>
        <v>1</v>
      </c>
    </row>
    <row r="6" spans="1:21" ht="15">
      <c r="A6" s="6">
        <v>4</v>
      </c>
      <c r="B6" s="1" t="s">
        <v>5</v>
      </c>
      <c r="C6" s="23">
        <f>[1]!EURUSD</f>
        <v>1.1335200000000001</v>
      </c>
      <c r="D6" s="23">
        <f>[2]!EURUSD</f>
        <v>1.1335500000000001</v>
      </c>
      <c r="E6" s="26">
        <f t="shared" si="0"/>
        <v>0.29999999999974492</v>
      </c>
      <c r="F6" s="19">
        <v>10</v>
      </c>
      <c r="G6" s="32">
        <f>(C5/10)/C6</f>
        <v>10.490772108123368</v>
      </c>
      <c r="H6" s="31">
        <f t="shared" si="1"/>
        <v>88.220763638930052</v>
      </c>
      <c r="I6" s="20"/>
      <c r="J6" s="29">
        <v>1</v>
      </c>
      <c r="K6" s="28">
        <f>G7+G23+G5</f>
        <v>42.417890849795882</v>
      </c>
      <c r="L6" s="38" t="s">
        <v>54</v>
      </c>
      <c r="M6" s="30" t="s">
        <v>7</v>
      </c>
      <c r="N6" s="29">
        <f>(G7/K6)*J6</f>
        <v>0.35983213029755545</v>
      </c>
      <c r="O6" s="30" t="s">
        <v>23</v>
      </c>
      <c r="P6" s="36">
        <f>(G23/K6)*J6</f>
        <v>0.3598262553089222</v>
      </c>
      <c r="Q6" s="30" t="s">
        <v>4</v>
      </c>
      <c r="R6" s="29">
        <f>(G5/K6)*J6</f>
        <v>0.28034161439352245</v>
      </c>
      <c r="S6" s="29">
        <f t="shared" si="2"/>
        <v>1</v>
      </c>
    </row>
    <row r="7" spans="1:21" ht="15">
      <c r="A7" s="6">
        <v>5</v>
      </c>
      <c r="B7" s="1" t="s">
        <v>7</v>
      </c>
      <c r="C7" s="24">
        <f>[1]!AUDUSD</f>
        <v>0.77908999999999995</v>
      </c>
      <c r="D7" s="24">
        <f>[2]!AUDUSD</f>
        <v>0.77914000000000005</v>
      </c>
      <c r="E7" s="26">
        <f t="shared" si="0"/>
        <v>0.50000000000105516</v>
      </c>
      <c r="F7" s="19">
        <v>10</v>
      </c>
      <c r="G7" s="32">
        <f>(C5/10)/C7</f>
        <v>15.263320027211236</v>
      </c>
      <c r="H7" s="31">
        <f t="shared" si="1"/>
        <v>128.35487555994814</v>
      </c>
      <c r="I7" s="20"/>
      <c r="J7" s="29">
        <v>1</v>
      </c>
      <c r="K7" s="28">
        <f>G16+G28+G5</f>
        <v>43.508379181765662</v>
      </c>
      <c r="L7" s="38" t="s">
        <v>55</v>
      </c>
      <c r="M7" s="30" t="s">
        <v>16</v>
      </c>
      <c r="N7" s="29">
        <f>(G16/K7)*J7</f>
        <v>0.36333506433265267</v>
      </c>
      <c r="O7" s="30" t="s">
        <v>28</v>
      </c>
      <c r="P7" s="36">
        <f>(G28/K7)*J7</f>
        <v>0.3633497668737527</v>
      </c>
      <c r="Q7" s="30" t="s">
        <v>4</v>
      </c>
      <c r="R7" s="29">
        <f>(G5/K7)*J7</f>
        <v>0.27331516879359463</v>
      </c>
      <c r="S7" s="29">
        <f t="shared" si="2"/>
        <v>1</v>
      </c>
    </row>
    <row r="8" spans="1:21" ht="15">
      <c r="A8" s="6">
        <v>6</v>
      </c>
      <c r="B8" s="2" t="s">
        <v>8</v>
      </c>
      <c r="C8" s="24">
        <f>[1]!AUDCAD</f>
        <v>0.98087999999999997</v>
      </c>
      <c r="D8" s="24">
        <f>[2]!AUDCAD</f>
        <v>0.98101000000000005</v>
      </c>
      <c r="E8" s="26">
        <f t="shared" si="0"/>
        <v>1.300000000000745</v>
      </c>
      <c r="F8" s="19">
        <f>(C7/C8)*10</f>
        <v>7.9427656797977324</v>
      </c>
      <c r="G8" s="32">
        <f>G7</f>
        <v>15.263320027211236</v>
      </c>
      <c r="H8" s="31">
        <f t="shared" si="1"/>
        <v>128.35487555994814</v>
      </c>
      <c r="I8" s="20"/>
      <c r="J8" s="29">
        <v>1</v>
      </c>
      <c r="K8" s="28">
        <f>G3+G25+G5</f>
        <v>35.071509523657468</v>
      </c>
      <c r="L8" s="39" t="s">
        <v>57</v>
      </c>
      <c r="M8" s="30" t="s">
        <v>2</v>
      </c>
      <c r="N8" s="29">
        <f>(G3/K8)*J8</f>
        <v>0.33906439048420756</v>
      </c>
      <c r="O8" s="30" t="s">
        <v>25</v>
      </c>
      <c r="P8" s="36">
        <f>(G25/K8)*J8</f>
        <v>0.32187121903158483</v>
      </c>
      <c r="Q8" s="30" t="s">
        <v>4</v>
      </c>
      <c r="R8" s="29">
        <f>(G5/K8)*J8</f>
        <v>0.33906439048420756</v>
      </c>
      <c r="S8" s="29">
        <f>N8+P8+R8</f>
        <v>0.99999999999999989</v>
      </c>
    </row>
    <row r="9" spans="1:21" ht="15">
      <c r="A9" s="6">
        <v>7</v>
      </c>
      <c r="B9" s="2" t="s">
        <v>9</v>
      </c>
      <c r="C9" s="24">
        <f>[1]!AUDCHF</f>
        <v>0.73948999999999998</v>
      </c>
      <c r="D9" s="24">
        <f>[2]!AUDCHF</f>
        <v>0.73967000000000005</v>
      </c>
      <c r="E9" s="26">
        <f t="shared" si="0"/>
        <v>1.8000000000006899</v>
      </c>
      <c r="F9" s="19">
        <f>(C7/C9)*10</f>
        <v>10.535504198839741</v>
      </c>
      <c r="G9" s="32">
        <f>G7</f>
        <v>15.263320027211236</v>
      </c>
      <c r="H9" s="31">
        <f t="shared" si="1"/>
        <v>128.35487555994814</v>
      </c>
      <c r="I9" s="20"/>
      <c r="J9" s="29">
        <v>1</v>
      </c>
      <c r="K9" s="28">
        <f>G6+G4+G13</f>
        <v>28.68818444126002</v>
      </c>
      <c r="L9" s="39" t="s">
        <v>48</v>
      </c>
      <c r="M9" s="30" t="s">
        <v>5</v>
      </c>
      <c r="N9" s="29">
        <f>G6/K9</f>
        <v>0.36568267781474845</v>
      </c>
      <c r="O9" s="30" t="s">
        <v>3</v>
      </c>
      <c r="P9" s="36">
        <f>G4/K9</f>
        <v>0.26863464437050311</v>
      </c>
      <c r="Q9" s="30" t="s">
        <v>13</v>
      </c>
      <c r="R9" s="29">
        <f>G13/K9</f>
        <v>0.36568267781474845</v>
      </c>
      <c r="S9" s="29">
        <f t="shared" ref="S9:S30" si="3">N9+P9+R9</f>
        <v>1</v>
      </c>
    </row>
    <row r="10" spans="1:21" ht="15">
      <c r="A10" s="6">
        <v>8</v>
      </c>
      <c r="B10" s="2" t="s">
        <v>10</v>
      </c>
      <c r="C10" s="24">
        <f>[1]!AUDNZD</f>
        <v>1.03559</v>
      </c>
      <c r="D10" s="24">
        <f>[2]!AUDNZD</f>
        <v>1.0357799999999999</v>
      </c>
      <c r="E10" s="26">
        <f t="shared" si="0"/>
        <v>1.8999999999991246</v>
      </c>
      <c r="F10" s="19">
        <f>(C7/C10)*10</f>
        <v>7.5231510539885473</v>
      </c>
      <c r="G10" s="32">
        <f>G7</f>
        <v>15.263320027211236</v>
      </c>
      <c r="H10" s="31">
        <f t="shared" si="1"/>
        <v>128.35487555994814</v>
      </c>
      <c r="I10" s="20"/>
    </row>
    <row r="11" spans="1:21" ht="15.75" thickBot="1">
      <c r="A11" s="6">
        <v>9</v>
      </c>
      <c r="B11" s="2" t="s">
        <v>11</v>
      </c>
      <c r="C11" s="24">
        <f>[1]!EURAUD</f>
        <v>1.45482</v>
      </c>
      <c r="D11" s="24">
        <f>[2]!EURAUD</f>
        <v>1.4549700000000001</v>
      </c>
      <c r="E11" s="26">
        <f t="shared" si="0"/>
        <v>1.500000000000945</v>
      </c>
      <c r="F11" s="19">
        <f>(C6/C11)*10</f>
        <v>7.7914793582711273</v>
      </c>
      <c r="G11" s="32">
        <f>G6</f>
        <v>10.490772108123368</v>
      </c>
      <c r="H11" s="31">
        <f t="shared" si="1"/>
        <v>88.220763638930038</v>
      </c>
      <c r="I11" s="20"/>
      <c r="J11" s="37" t="s">
        <v>59</v>
      </c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</row>
    <row r="12" spans="1:21" ht="15.75" thickTop="1">
      <c r="A12" s="6">
        <v>10</v>
      </c>
      <c r="B12" s="2" t="s">
        <v>12</v>
      </c>
      <c r="C12" s="24">
        <f>[1]!EURCHF</f>
        <v>1.0758700000000001</v>
      </c>
      <c r="D12" s="24">
        <f>[2]!EURCHF</f>
        <v>1.07605</v>
      </c>
      <c r="E12" s="26">
        <f t="shared" si="0"/>
        <v>1.7999999999984695</v>
      </c>
      <c r="F12" s="19">
        <f>(C6/C12)*10</f>
        <v>10.535845408831921</v>
      </c>
      <c r="G12" s="32">
        <f>G6</f>
        <v>10.490772108123368</v>
      </c>
      <c r="H12" s="31">
        <f t="shared" si="1"/>
        <v>88.220763638930052</v>
      </c>
      <c r="I12" s="20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</row>
    <row r="13" spans="1:21" ht="15">
      <c r="A13" s="6">
        <v>11</v>
      </c>
      <c r="B13" s="2" t="s">
        <v>13</v>
      </c>
      <c r="C13" s="24">
        <f>[1]!EURGBP</f>
        <v>0.73458999999999997</v>
      </c>
      <c r="D13" s="24">
        <f>[2]!EURGBP</f>
        <v>0.73460999999999999</v>
      </c>
      <c r="E13" s="26">
        <f>(D13-C13)*10000</f>
        <v>0.20000000000020002</v>
      </c>
      <c r="F13" s="19">
        <f>(C6/C13)*10</f>
        <v>15.430648388897211</v>
      </c>
      <c r="G13" s="32">
        <f>G6</f>
        <v>10.490772108123368</v>
      </c>
      <c r="H13" s="31">
        <f t="shared" si="1"/>
        <v>88.220763638930038</v>
      </c>
      <c r="I13" s="20"/>
      <c r="J13" s="17" t="s">
        <v>43</v>
      </c>
      <c r="K13" s="17" t="s">
        <v>58</v>
      </c>
      <c r="L13" s="17" t="s">
        <v>51</v>
      </c>
      <c r="M13" s="17" t="s">
        <v>45</v>
      </c>
      <c r="N13" s="17" t="s">
        <v>43</v>
      </c>
      <c r="O13" s="17" t="s">
        <v>46</v>
      </c>
      <c r="P13" s="17" t="s">
        <v>43</v>
      </c>
      <c r="Q13" s="17" t="s">
        <v>47</v>
      </c>
      <c r="R13" s="17" t="s">
        <v>43</v>
      </c>
      <c r="S13" s="17" t="s">
        <v>60</v>
      </c>
      <c r="T13" s="17" t="s">
        <v>43</v>
      </c>
      <c r="U13" s="17" t="s">
        <v>52</v>
      </c>
    </row>
    <row r="14" spans="1:21" ht="15">
      <c r="A14" s="6">
        <v>12</v>
      </c>
      <c r="B14" s="2" t="s">
        <v>14</v>
      </c>
      <c r="C14" s="24">
        <f>[1]!GBPAUD</f>
        <v>1.98041</v>
      </c>
      <c r="D14" s="24">
        <f>[2]!GBPAUD</f>
        <v>1.98061</v>
      </c>
      <c r="E14" s="26">
        <f t="shared" si="0"/>
        <v>1.9999999999997797</v>
      </c>
      <c r="F14" s="19">
        <f>(C4/C14)*10</f>
        <v>7.7914169288177701</v>
      </c>
      <c r="G14" s="32">
        <f>G4</f>
        <v>7.7066402250132855</v>
      </c>
      <c r="H14" s="31">
        <f t="shared" si="1"/>
        <v>64.807973973117655</v>
      </c>
      <c r="I14" s="20"/>
      <c r="J14" s="36">
        <v>1</v>
      </c>
      <c r="K14" s="28">
        <f>G6+G27+G26+G4</f>
        <v>36.394797527794417</v>
      </c>
      <c r="L14" s="27" t="s">
        <v>61</v>
      </c>
      <c r="M14" s="30" t="s">
        <v>5</v>
      </c>
      <c r="N14" s="29">
        <f>G6/K14</f>
        <v>0.28824922298610534</v>
      </c>
      <c r="O14" s="30" t="s">
        <v>27</v>
      </c>
      <c r="P14" s="29">
        <f>G27/K14</f>
        <v>0.21175140754398472</v>
      </c>
      <c r="Q14" s="30" t="s">
        <v>26</v>
      </c>
      <c r="R14" s="29">
        <f>G26/K14</f>
        <v>0.2882482196214245</v>
      </c>
      <c r="S14" s="30" t="s">
        <v>3</v>
      </c>
      <c r="T14" s="29">
        <f>G4/K14</f>
        <v>0.2117511498484855</v>
      </c>
      <c r="U14" s="29">
        <f>N14+P14+R14+T14</f>
        <v>1</v>
      </c>
    </row>
    <row r="15" spans="1:21" ht="15">
      <c r="A15" s="6">
        <v>13</v>
      </c>
      <c r="B15" s="2" t="s">
        <v>15</v>
      </c>
      <c r="C15" s="24">
        <f>[1]!GBPCHF</f>
        <v>1.4645699999999999</v>
      </c>
      <c r="D15" s="24">
        <f>[2]!GBPCHF</f>
        <v>1.4648099999999999</v>
      </c>
      <c r="E15" s="26">
        <f t="shared" si="0"/>
        <v>2.4000000000001798</v>
      </c>
      <c r="F15" s="19">
        <f>(C4/C15)*10</f>
        <v>10.535652102664947</v>
      </c>
      <c r="G15" s="32">
        <f>G4</f>
        <v>7.7066402250132855</v>
      </c>
      <c r="H15" s="31">
        <f t="shared" si="1"/>
        <v>64.807973973117655</v>
      </c>
      <c r="I15" s="20"/>
      <c r="J15" s="36">
        <v>1</v>
      </c>
      <c r="K15" s="27"/>
      <c r="L15" s="27"/>
      <c r="M15" s="30"/>
      <c r="N15" s="29"/>
      <c r="O15" s="30"/>
      <c r="P15" s="29"/>
      <c r="Q15" s="30"/>
      <c r="R15" s="29"/>
      <c r="S15" s="30"/>
      <c r="T15" s="29"/>
      <c r="U15" s="29">
        <f t="shared" ref="U15:U19" si="4">N15+P15+R15+T15</f>
        <v>0</v>
      </c>
    </row>
    <row r="16" spans="1:21" ht="15">
      <c r="A16" s="6">
        <v>14</v>
      </c>
      <c r="B16" s="2" t="s">
        <v>16</v>
      </c>
      <c r="C16" s="24">
        <f>[1]!NZDUSD</f>
        <v>0.75224000000000002</v>
      </c>
      <c r="D16" s="24">
        <f>[2]!NZDUSD</f>
        <v>0.75231000000000003</v>
      </c>
      <c r="E16" s="26">
        <f t="shared" si="0"/>
        <v>0.70000000000014495</v>
      </c>
      <c r="F16" s="19">
        <v>10</v>
      </c>
      <c r="G16" s="32">
        <f>(C5/10)/C16</f>
        <v>15.808119749016273</v>
      </c>
      <c r="H16" s="31">
        <f t="shared" si="1"/>
        <v>132.93629692651282</v>
      </c>
      <c r="I16" s="20"/>
      <c r="J16" s="36">
        <v>1</v>
      </c>
      <c r="K16" s="27"/>
      <c r="L16" s="27"/>
      <c r="M16" s="30"/>
      <c r="N16" s="29"/>
      <c r="O16" s="30"/>
      <c r="P16" s="29"/>
      <c r="Q16" s="30"/>
      <c r="R16" s="29"/>
      <c r="S16" s="30"/>
      <c r="T16" s="29"/>
      <c r="U16" s="29">
        <f t="shared" si="4"/>
        <v>0</v>
      </c>
    </row>
    <row r="17" spans="1:21" ht="15">
      <c r="A17" s="6">
        <v>15</v>
      </c>
      <c r="B17" s="3" t="s">
        <v>17</v>
      </c>
      <c r="C17" s="24">
        <f>[1]!CADCHF</f>
        <v>0.75385999999999997</v>
      </c>
      <c r="D17" s="24">
        <f>[2]!CADCHF</f>
        <v>0.754</v>
      </c>
      <c r="E17" s="26">
        <f t="shared" si="0"/>
        <v>1.4000000000002899</v>
      </c>
      <c r="F17" s="19">
        <f>((1/C22)/C17)*10</f>
        <v>10.53610573263459</v>
      </c>
      <c r="G17" s="32">
        <f>G24</f>
        <v>14.9723410467357</v>
      </c>
      <c r="H17" s="31">
        <f t="shared" si="1"/>
        <v>125.901</v>
      </c>
      <c r="I17" s="20"/>
      <c r="J17" s="36">
        <v>1</v>
      </c>
      <c r="K17" s="27"/>
      <c r="L17" s="27"/>
      <c r="M17" s="30"/>
      <c r="N17" s="29"/>
      <c r="O17" s="30"/>
      <c r="P17" s="29"/>
      <c r="Q17" s="30"/>
      <c r="R17" s="29"/>
      <c r="S17" s="30"/>
      <c r="T17" s="29"/>
      <c r="U17" s="29">
        <f t="shared" si="4"/>
        <v>0</v>
      </c>
    </row>
    <row r="18" spans="1:21" ht="15">
      <c r="A18" s="6">
        <v>16</v>
      </c>
      <c r="B18" s="3" t="s">
        <v>19</v>
      </c>
      <c r="C18" s="24">
        <f>[1]!EURCAD</f>
        <v>1.42713</v>
      </c>
      <c r="D18" s="24">
        <f>[2]!EURCAD</f>
        <v>1.4272400000000001</v>
      </c>
      <c r="E18" s="26">
        <f t="shared" si="0"/>
        <v>1.100000000000545</v>
      </c>
      <c r="F18" s="19">
        <f>(C6/C18)*10</f>
        <v>7.9426541380252678</v>
      </c>
      <c r="G18" s="32">
        <f>G6</f>
        <v>10.490772108123368</v>
      </c>
      <c r="H18" s="31">
        <f t="shared" si="1"/>
        <v>88.220763638930052</v>
      </c>
      <c r="I18" s="20"/>
      <c r="J18" s="36">
        <v>1</v>
      </c>
      <c r="K18" s="27"/>
      <c r="L18" s="27"/>
      <c r="M18" s="30"/>
      <c r="N18" s="29"/>
      <c r="O18" s="30"/>
      <c r="P18" s="29"/>
      <c r="Q18" s="30"/>
      <c r="R18" s="29"/>
      <c r="S18" s="30"/>
      <c r="T18" s="29"/>
      <c r="U18" s="29">
        <f t="shared" si="4"/>
        <v>0</v>
      </c>
    </row>
    <row r="19" spans="1:21" ht="15">
      <c r="A19" s="6">
        <v>17</v>
      </c>
      <c r="B19" s="3" t="s">
        <v>18</v>
      </c>
      <c r="C19" s="24">
        <f>[1]!EURNZD</f>
        <v>1.50674</v>
      </c>
      <c r="D19" s="24">
        <f>[2]!EURNZD</f>
        <v>1.50692</v>
      </c>
      <c r="E19" s="26">
        <f t="shared" si="0"/>
        <v>1.8000000000006899</v>
      </c>
      <c r="F19" s="19">
        <f>(C6/C19)*10</f>
        <v>7.5229966683037564</v>
      </c>
      <c r="G19" s="32">
        <f>G6</f>
        <v>10.490772108123368</v>
      </c>
      <c r="H19" s="31">
        <f t="shared" si="1"/>
        <v>88.220763638930038</v>
      </c>
      <c r="I19" s="20"/>
      <c r="J19" s="36">
        <v>1</v>
      </c>
      <c r="K19" s="27"/>
      <c r="L19" s="27"/>
      <c r="M19" s="30"/>
      <c r="N19" s="29"/>
      <c r="O19" s="30"/>
      <c r="P19" s="29"/>
      <c r="Q19" s="30"/>
      <c r="R19" s="29"/>
      <c r="S19" s="30"/>
      <c r="T19" s="29"/>
      <c r="U19" s="29">
        <f t="shared" si="4"/>
        <v>0</v>
      </c>
    </row>
    <row r="20" spans="1:21" ht="15">
      <c r="A20" s="6">
        <v>18</v>
      </c>
      <c r="B20" s="3" t="s">
        <v>20</v>
      </c>
      <c r="C20" s="24">
        <f>[1]!GBPCAD</f>
        <v>1.9427099999999999</v>
      </c>
      <c r="D20" s="24">
        <f>[2]!GBPCAD</f>
        <v>1.9429099999999999</v>
      </c>
      <c r="E20" s="26">
        <f t="shared" si="0"/>
        <v>1.9999999999997797</v>
      </c>
      <c r="F20" s="19">
        <f>(C4/C20)*10</f>
        <v>7.9426162422595246</v>
      </c>
      <c r="G20" s="32">
        <f>G4</f>
        <v>7.7066402250132855</v>
      </c>
      <c r="H20" s="31">
        <f t="shared" si="1"/>
        <v>64.807973973117655</v>
      </c>
      <c r="I20" s="20"/>
    </row>
    <row r="21" spans="1:21" ht="15">
      <c r="A21" s="6">
        <v>19</v>
      </c>
      <c r="B21" s="3" t="s">
        <v>21</v>
      </c>
      <c r="C21" s="24">
        <f>[1]!GBPNZD</f>
        <v>2.0510600000000001</v>
      </c>
      <c r="D21" s="24">
        <f>[2]!GBPNZD</f>
        <v>2.05131</v>
      </c>
      <c r="E21" s="26">
        <f t="shared" si="0"/>
        <v>2.4999999999986144</v>
      </c>
      <c r="F21" s="19">
        <f>(C4/C21)*10</f>
        <v>7.5230368687410412</v>
      </c>
      <c r="G21" s="32">
        <f>G4</f>
        <v>7.7066402250132855</v>
      </c>
      <c r="H21" s="31">
        <f t="shared" si="1"/>
        <v>64.807973973117655</v>
      </c>
      <c r="I21" s="20"/>
    </row>
    <row r="22" spans="1:21" ht="15">
      <c r="A22" s="6">
        <v>20</v>
      </c>
      <c r="B22" s="3" t="s">
        <v>22</v>
      </c>
      <c r="C22" s="24">
        <f>[1]!USDCAD</f>
        <v>1.25901</v>
      </c>
      <c r="D22" s="24">
        <f>[2]!USDCAD</f>
        <v>1.2590699999999999</v>
      </c>
      <c r="E22" s="26">
        <f t="shared" si="0"/>
        <v>0.59999999999948983</v>
      </c>
      <c r="F22" s="19">
        <f>10/C22</f>
        <v>7.9427486676039116</v>
      </c>
      <c r="G22" s="32">
        <f>(C5/10)/C22*(10/F22)</f>
        <v>11.891500000000001</v>
      </c>
      <c r="H22" s="31">
        <f t="shared" si="1"/>
        <v>100</v>
      </c>
      <c r="I22" s="20"/>
    </row>
    <row r="23" spans="1:21" ht="15">
      <c r="A23" s="6">
        <v>21</v>
      </c>
      <c r="B23" s="4" t="s">
        <v>23</v>
      </c>
      <c r="C23" s="25">
        <f>[1]!AUDJPY</f>
        <v>92.647000000000006</v>
      </c>
      <c r="D23" s="25">
        <f>[2]!AUDJPY</f>
        <v>92.653000000000006</v>
      </c>
      <c r="E23" s="26">
        <f t="shared" ref="E23:E28" si="5">(D23-C23)*100</f>
        <v>0.60000000000002274</v>
      </c>
      <c r="F23" s="19">
        <f>(C7/(C23/100))*10</f>
        <v>8.4092307360195147</v>
      </c>
      <c r="G23" s="32">
        <f>((C5*10)/C23)*(10/F5)</f>
        <v>15.263070822584648</v>
      </c>
      <c r="H23" s="31">
        <f>100000/(C23*F23)</f>
        <v>128.35487555994814</v>
      </c>
      <c r="I23" s="20"/>
    </row>
    <row r="24" spans="1:21" ht="15">
      <c r="A24" s="6">
        <v>22</v>
      </c>
      <c r="B24" s="4" t="s">
        <v>24</v>
      </c>
      <c r="C24" s="25">
        <f>[1]!CADJPY</f>
        <v>94.445999999999998</v>
      </c>
      <c r="D24" s="25">
        <f>[2]!CADJPY</f>
        <v>94.451999999999998</v>
      </c>
      <c r="E24" s="26">
        <f t="shared" si="5"/>
        <v>0.60000000000002274</v>
      </c>
      <c r="F24" s="19">
        <f>((1/C22)/(C24/100))*10</f>
        <v>8.4098306626049926</v>
      </c>
      <c r="G24" s="32">
        <f>((C5*10)/C24)*(10/F5)</f>
        <v>14.9723410467357</v>
      </c>
      <c r="H24" s="31">
        <f t="shared" ref="H24:H28" si="6">100000/(C24*F24)</f>
        <v>125.901</v>
      </c>
      <c r="I24" s="20"/>
    </row>
    <row r="25" spans="1:21" ht="15">
      <c r="A25" s="6">
        <v>23</v>
      </c>
      <c r="B25" s="4" t="s">
        <v>25</v>
      </c>
      <c r="C25" s="25">
        <f>[1]!CHFJPY</f>
        <v>125.267</v>
      </c>
      <c r="D25" s="25">
        <f>[2]!CHFJPY</f>
        <v>125.285</v>
      </c>
      <c r="E25" s="26">
        <f t="shared" si="5"/>
        <v>1.8000000000000682</v>
      </c>
      <c r="F25" s="19">
        <f>((1/C3)/(C25/100))*10</f>
        <v>8.4107175149822417</v>
      </c>
      <c r="G25" s="32">
        <f>((C5*10)/C25)*(10/F5)</f>
        <v>11.288509523657467</v>
      </c>
      <c r="H25" s="31">
        <f t="shared" si="6"/>
        <v>94.914000000000001</v>
      </c>
      <c r="I25" s="20"/>
    </row>
    <row r="26" spans="1:21" ht="15">
      <c r="A26" s="6">
        <v>24</v>
      </c>
      <c r="B26" s="4" t="s">
        <v>26</v>
      </c>
      <c r="C26" s="25">
        <f>[1]!EURJPY</f>
        <v>134.79300000000001</v>
      </c>
      <c r="D26" s="25">
        <f>[2]!EURJPY</f>
        <v>134.80099999999999</v>
      </c>
      <c r="E26" s="26">
        <f t="shared" si="5"/>
        <v>0.79999999999813554</v>
      </c>
      <c r="F26" s="19">
        <f>(C6/(C26/100))*10</f>
        <v>8.4093387638823973</v>
      </c>
      <c r="G26" s="32">
        <f>((C5*10)/C26)*(10/F5)</f>
        <v>10.490735590868962</v>
      </c>
      <c r="H26" s="31">
        <f t="shared" si="6"/>
        <v>88.220763638930066</v>
      </c>
      <c r="I26" s="20"/>
    </row>
    <row r="27" spans="1:21" ht="15">
      <c r="A27" s="6">
        <v>25</v>
      </c>
      <c r="B27" s="4" t="s">
        <v>27</v>
      </c>
      <c r="C27" s="25">
        <f>[1]!GBPJPY</f>
        <v>183.488</v>
      </c>
      <c r="D27" s="25">
        <f>[2]!GBPJPY</f>
        <v>183.499</v>
      </c>
      <c r="E27" s="26">
        <f t="shared" si="5"/>
        <v>1.099999999999568</v>
      </c>
      <c r="F27" s="19">
        <f>(C4/(C27/100))*10</f>
        <v>8.4093782699686077</v>
      </c>
      <c r="G27" s="32">
        <f>((C5*10)/C27)*(10/F5)</f>
        <v>7.7066496037888035</v>
      </c>
      <c r="H27" s="31">
        <f t="shared" si="6"/>
        <v>64.807973973117655</v>
      </c>
      <c r="I27" s="20"/>
    </row>
    <row r="28" spans="1:21" ht="15">
      <c r="A28" s="6">
        <v>26</v>
      </c>
      <c r="B28" s="5" t="s">
        <v>28</v>
      </c>
      <c r="C28" s="25">
        <f>[1]!NZDJPY</f>
        <v>89.448999999999998</v>
      </c>
      <c r="D28" s="25">
        <f>[2]!NZDJPY</f>
        <v>89.465000000000003</v>
      </c>
      <c r="E28" s="26">
        <f t="shared" si="5"/>
        <v>1.6000000000005343</v>
      </c>
      <c r="F28" s="19">
        <f>(C16/(C28/100))*10</f>
        <v>8.4097083254144813</v>
      </c>
      <c r="G28" s="32">
        <f>((C5*10)/C28)*(10/F5)</f>
        <v>15.808759432749389</v>
      </c>
      <c r="H28" s="31">
        <f t="shared" si="6"/>
        <v>132.93629692651282</v>
      </c>
      <c r="I28" s="20"/>
    </row>
    <row r="29" spans="1:21" ht="15">
      <c r="A29" s="6">
        <v>27</v>
      </c>
      <c r="B29" s="5" t="s">
        <v>29</v>
      </c>
      <c r="C29" s="24">
        <f>[1]!NZDCAD</f>
        <v>0.94706999999999997</v>
      </c>
      <c r="D29" s="24">
        <f>[2]!NZDCAD</f>
        <v>0.94725999999999999</v>
      </c>
      <c r="E29" s="26">
        <f t="shared" si="0"/>
        <v>1.9000000000002348</v>
      </c>
      <c r="F29" s="19">
        <f>(C16/C29)*10</f>
        <v>7.9428130972367414</v>
      </c>
      <c r="G29" s="32">
        <f>G16</f>
        <v>15.808119749016273</v>
      </c>
      <c r="H29" s="31">
        <f t="shared" si="1"/>
        <v>132.93629692651282</v>
      </c>
      <c r="I29" s="20"/>
    </row>
    <row r="30" spans="1:21" ht="15">
      <c r="A30" s="6">
        <v>28</v>
      </c>
      <c r="B30" s="5" t="s">
        <v>30</v>
      </c>
      <c r="C30" s="24">
        <f>[1]!NZDCHF</f>
        <v>0.71406000000000003</v>
      </c>
      <c r="D30" s="24">
        <f>[2]!NZDCHF</f>
        <v>0.71423000000000003</v>
      </c>
      <c r="E30" s="26">
        <f t="shared" si="0"/>
        <v>1.7000000000000348</v>
      </c>
      <c r="F30" s="19">
        <f>(C16/C30)*10</f>
        <v>10.5346889617119</v>
      </c>
      <c r="G30" s="32">
        <f>G16</f>
        <v>15.808119749016273</v>
      </c>
      <c r="H30" s="31">
        <f t="shared" si="1"/>
        <v>132.93629692651282</v>
      </c>
      <c r="I30" s="20"/>
    </row>
    <row r="33" spans="1:17">
      <c r="A33" s="41" t="s">
        <v>62</v>
      </c>
      <c r="B33" s="41"/>
      <c r="C33" s="41"/>
      <c r="D33" s="41"/>
      <c r="E33" s="41"/>
      <c r="F33" s="41"/>
      <c r="G33" s="41"/>
      <c r="H33" s="41"/>
    </row>
    <row r="34" spans="1:17">
      <c r="A34" s="41"/>
      <c r="B34" s="41"/>
      <c r="C34" s="41"/>
      <c r="D34" s="41"/>
      <c r="E34" s="41"/>
      <c r="F34" s="41"/>
      <c r="G34" s="41"/>
      <c r="H34" s="41"/>
    </row>
    <row r="35" spans="1:17" ht="15">
      <c r="A35" s="42">
        <v>1</v>
      </c>
      <c r="B35" s="43" t="s">
        <v>63</v>
      </c>
      <c r="C35" s="43"/>
      <c r="D35" s="43"/>
      <c r="E35" s="43"/>
      <c r="F35" s="43"/>
      <c r="G35" s="43"/>
      <c r="H35" s="43"/>
      <c r="K35" s="40"/>
      <c r="L35" s="40"/>
      <c r="M35" s="40"/>
      <c r="N35" s="40"/>
      <c r="O35" s="40"/>
      <c r="P35" s="40"/>
      <c r="Q35" s="40"/>
    </row>
    <row r="36" spans="1:17" ht="15">
      <c r="A36" s="35">
        <v>2</v>
      </c>
      <c r="B36" s="43" t="s">
        <v>64</v>
      </c>
      <c r="C36" s="43"/>
      <c r="D36" s="43"/>
      <c r="E36" s="43"/>
      <c r="F36" s="43"/>
      <c r="G36" s="43"/>
      <c r="H36" s="43"/>
    </row>
    <row r="37" spans="1:17" ht="15">
      <c r="A37" s="35">
        <v>3</v>
      </c>
      <c r="B37" s="43" t="s">
        <v>65</v>
      </c>
      <c r="C37" s="43"/>
      <c r="D37" s="43"/>
      <c r="E37" s="43"/>
      <c r="F37" s="43"/>
      <c r="G37" s="43"/>
      <c r="H37" s="43"/>
    </row>
    <row r="38" spans="1:17" ht="15">
      <c r="A38" s="35">
        <v>4</v>
      </c>
      <c r="B38" s="43" t="s">
        <v>66</v>
      </c>
      <c r="C38" s="43"/>
      <c r="D38" s="43"/>
      <c r="E38" s="43"/>
      <c r="F38" s="43"/>
      <c r="G38" s="43"/>
      <c r="H38" s="43"/>
    </row>
    <row r="39" spans="1:17" ht="15" customHeight="1">
      <c r="A39" s="44">
        <v>5</v>
      </c>
      <c r="B39" s="45" t="s">
        <v>67</v>
      </c>
      <c r="C39" s="45"/>
      <c r="D39" s="45"/>
      <c r="E39" s="45"/>
      <c r="F39" s="45"/>
      <c r="G39" s="45"/>
      <c r="H39" s="45"/>
    </row>
    <row r="40" spans="1:17">
      <c r="A40" s="44"/>
      <c r="B40" s="45"/>
      <c r="C40" s="45"/>
      <c r="D40" s="45"/>
      <c r="E40" s="45"/>
      <c r="F40" s="45"/>
      <c r="G40" s="45"/>
      <c r="H40" s="45"/>
    </row>
  </sheetData>
  <mergeCells count="10">
    <mergeCell ref="B38:H38"/>
    <mergeCell ref="B39:H40"/>
    <mergeCell ref="A39:A40"/>
    <mergeCell ref="B35:H35"/>
    <mergeCell ref="B36:H36"/>
    <mergeCell ref="B37:H37"/>
    <mergeCell ref="A1:G1"/>
    <mergeCell ref="J1:R1"/>
    <mergeCell ref="J11:U12"/>
    <mergeCell ref="A33:H34"/>
  </mergeCells>
  <phoneticPr fontId="3" type="noConversion"/>
  <pageMargins left="0.78740157499999996" right="0.78740157499999996" top="0.984251969" bottom="0.984251969" header="0.5" footer="0.5"/>
  <pageSetup paperSize="9" orientation="portrait" r:id="rId1"/>
  <headerFooter alignWithMargins="0"/>
  <ignoredErrors>
    <ignoredError sqref="E5 P7 H5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"/>
  <sheetViews>
    <sheetView workbookViewId="0"/>
  </sheetViews>
  <sheetFormatPr defaultRowHeight="12.75"/>
  <sheetData/>
  <phoneticPr fontId="3" type="noConversion"/>
  <pageMargins left="0.78740157499999996" right="0.78740157499999996" top="0.984251969" bottom="0.984251969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"/>
  <sheetViews>
    <sheetView workbookViewId="0"/>
  </sheetViews>
  <sheetFormatPr defaultRowHeight="12.75"/>
  <sheetData/>
  <phoneticPr fontId="3" type="noConversion"/>
  <pageMargins left="0.78740157499999996" right="0.78740157499999996" top="0.984251969" bottom="0.984251969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0"/>
  <sheetViews>
    <sheetView showGridLines="0" workbookViewId="0"/>
  </sheetViews>
  <sheetFormatPr defaultRowHeight="12.75"/>
  <cols>
    <col min="1" max="1" width="1.140625" customWidth="1"/>
    <col min="2" max="2" width="64.42578125" customWidth="1"/>
    <col min="3" max="3" width="1.5703125" customWidth="1"/>
    <col min="4" max="4" width="5.5703125" customWidth="1"/>
    <col min="5" max="6" width="16" customWidth="1"/>
  </cols>
  <sheetData>
    <row r="1" spans="2:6">
      <c r="B1" s="7" t="s">
        <v>31</v>
      </c>
      <c r="C1" s="7"/>
      <c r="D1" s="11"/>
      <c r="E1" s="11"/>
      <c r="F1" s="11"/>
    </row>
    <row r="2" spans="2:6">
      <c r="B2" s="7" t="s">
        <v>32</v>
      </c>
      <c r="C2" s="7"/>
      <c r="D2" s="11"/>
      <c r="E2" s="11"/>
      <c r="F2" s="11"/>
    </row>
    <row r="3" spans="2:6">
      <c r="B3" s="8"/>
      <c r="C3" s="8"/>
      <c r="D3" s="12"/>
      <c r="E3" s="12"/>
      <c r="F3" s="12"/>
    </row>
    <row r="4" spans="2:6" ht="51">
      <c r="B4" s="8" t="s">
        <v>33</v>
      </c>
      <c r="C4" s="8"/>
      <c r="D4" s="12"/>
      <c r="E4" s="12"/>
      <c r="F4" s="12"/>
    </row>
    <row r="5" spans="2:6">
      <c r="B5" s="8"/>
      <c r="C5" s="8"/>
      <c r="D5" s="12"/>
      <c r="E5" s="12"/>
      <c r="F5" s="12"/>
    </row>
    <row r="6" spans="2:6">
      <c r="B6" s="7" t="s">
        <v>34</v>
      </c>
      <c r="C6" s="7"/>
      <c r="D6" s="11"/>
      <c r="E6" s="11" t="s">
        <v>35</v>
      </c>
      <c r="F6" s="11" t="s">
        <v>36</v>
      </c>
    </row>
    <row r="7" spans="2:6" ht="13.5" thickBot="1">
      <c r="B7" s="8"/>
      <c r="C7" s="8"/>
      <c r="D7" s="12"/>
      <c r="E7" s="12"/>
      <c r="F7" s="12"/>
    </row>
    <row r="8" spans="2:6" ht="39" thickBot="1">
      <c r="B8" s="9" t="s">
        <v>37</v>
      </c>
      <c r="C8" s="10"/>
      <c r="D8" s="13"/>
      <c r="E8" s="13">
        <v>5</v>
      </c>
      <c r="F8" s="14" t="s">
        <v>38</v>
      </c>
    </row>
    <row r="9" spans="2:6">
      <c r="B9" s="8"/>
      <c r="C9" s="8"/>
      <c r="D9" s="12"/>
      <c r="E9" s="12"/>
      <c r="F9" s="12"/>
    </row>
    <row r="10" spans="2:6">
      <c r="B10" s="8"/>
      <c r="C10" s="8"/>
      <c r="D10" s="12"/>
      <c r="E10" s="12"/>
      <c r="F10" s="12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Лист1</vt:lpstr>
      <vt:lpstr>Лист2</vt:lpstr>
      <vt:lpstr>Лист3</vt:lpstr>
      <vt:lpstr>Sestava kompatibility</vt:lpstr>
    </vt:vector>
  </TitlesOfParts>
  <Company>METAQUOTES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</dc:creator>
  <cp:lastModifiedBy>Daniel Jurnik</cp:lastModifiedBy>
  <dcterms:created xsi:type="dcterms:W3CDTF">2005-06-06T12:13:22Z</dcterms:created>
  <dcterms:modified xsi:type="dcterms:W3CDTF">2015-02-24T11:55:13Z</dcterms:modified>
</cp:coreProperties>
</file>