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45" yWindow="0" windowWidth="15255" windowHeight="9345" tabRatio="900" activeTab="5"/>
  </bookViews>
  <sheets>
    <sheet name="ForexGrail" sheetId="6807" r:id="rId1"/>
    <sheet name="Printout" sheetId="6806" r:id="rId2"/>
    <sheet name="thelines" sheetId="14" r:id="rId3"/>
    <sheet name="Rubber Bands" sheetId="6805" r:id="rId4"/>
    <sheet name="Total Strength" sheetId="3" r:id="rId5"/>
    <sheet name="My_version" sheetId="6808" r:id="rId6"/>
  </sheets>
  <externalReferences>
    <externalReference r:id="rId7"/>
    <externalReference r:id="rId8"/>
    <externalReference r:id="rId9"/>
    <externalReference r:id="rId10"/>
  </externalReferences>
  <definedNames>
    <definedName name="Bid" localSheetId="5">My_version!$C$6:$N$6</definedName>
    <definedName name="Bid">#REF!</definedName>
    <definedName name="High" localSheetId="5">My_version!$C$4:$N$4</definedName>
    <definedName name="High">#REF!</definedName>
    <definedName name="Low" localSheetId="5">My_version!$C$7:$N$7</definedName>
    <definedName name="Low">#REF!</definedName>
    <definedName name="PIP_Range" localSheetId="5">My_version!$C$8:$N$8</definedName>
    <definedName name="PIP_Range">#REF!</definedName>
  </definedNames>
  <calcPr calcId="144525"/>
  <customWorkbookViews>
    <customWorkbookView name="wealloat - Personal View" guid="{67D24A5F-4A49-4D73-A781-A6453EF72A3F}" mergeInterval="0" personalView="1" xWindow="5" yWindow="24" windowWidth="1010" windowHeight="576" activeSheetId="2" showFormulaBar="0" showComments="commNone" showObjects="placeholders"/>
  </customWorkbookViews>
</workbook>
</file>

<file path=xl/calcChain.xml><?xml version="1.0" encoding="utf-8"?>
<calcChain xmlns="http://schemas.openxmlformats.org/spreadsheetml/2006/main">
  <c r="T52" i="6808"/>
  <c r="T51"/>
  <c r="T50"/>
  <c r="T49"/>
  <c r="S52"/>
  <c r="S51"/>
  <c r="S50"/>
  <c r="S49"/>
  <c r="R52"/>
  <c r="R51"/>
  <c r="R50"/>
  <c r="R49"/>
  <c r="Q52"/>
  <c r="Q51"/>
  <c r="Q50"/>
  <c r="Q49"/>
  <c r="O52"/>
  <c r="O51"/>
  <c r="O50"/>
  <c r="O49"/>
  <c r="P52"/>
  <c r="P51"/>
  <c r="P50"/>
  <c r="N52"/>
  <c r="N51"/>
  <c r="P49"/>
  <c r="N49"/>
  <c r="N50"/>
  <c r="T37"/>
  <c r="T36"/>
  <c r="T35"/>
  <c r="T34"/>
  <c r="S37"/>
  <c r="S36"/>
  <c r="S35"/>
  <c r="S34"/>
  <c r="R37"/>
  <c r="R36"/>
  <c r="R35"/>
  <c r="R34"/>
  <c r="Q37"/>
  <c r="Q36"/>
  <c r="Q35"/>
  <c r="Q34"/>
  <c r="P37"/>
  <c r="P36"/>
  <c r="P35"/>
  <c r="P34"/>
  <c r="O37"/>
  <c r="O36"/>
  <c r="O35"/>
  <c r="O34"/>
  <c r="N37"/>
  <c r="N36"/>
  <c r="N35"/>
  <c r="N34"/>
  <c r="T22"/>
  <c r="T21"/>
  <c r="T20"/>
  <c r="T19"/>
  <c r="S22"/>
  <c r="S21"/>
  <c r="S20"/>
  <c r="S19"/>
  <c r="R22"/>
  <c r="R21"/>
  <c r="R20"/>
  <c r="R19"/>
  <c r="Q22"/>
  <c r="Q21"/>
  <c r="Q20"/>
  <c r="Q19"/>
  <c r="P22"/>
  <c r="P21"/>
  <c r="P20"/>
  <c r="P19"/>
  <c r="O22"/>
  <c r="O21"/>
  <c r="O20"/>
  <c r="O19"/>
  <c r="N22"/>
  <c r="N21"/>
  <c r="N20"/>
  <c r="N19"/>
  <c r="T7"/>
  <c r="T6"/>
  <c r="T5"/>
  <c r="T4"/>
  <c r="S7"/>
  <c r="S6"/>
  <c r="S5"/>
  <c r="S4"/>
  <c r="R7"/>
  <c r="R6"/>
  <c r="R5"/>
  <c r="R4"/>
  <c r="Q7"/>
  <c r="Q6"/>
  <c r="Q5"/>
  <c r="Q4"/>
  <c r="P7"/>
  <c r="P6"/>
  <c r="P5"/>
  <c r="P4"/>
  <c r="O7"/>
  <c r="O6"/>
  <c r="O5"/>
  <c r="O4"/>
  <c r="E35"/>
  <c r="N7"/>
  <c r="N6"/>
  <c r="N5"/>
  <c r="N4"/>
  <c r="E4"/>
  <c r="I67"/>
  <c r="I66"/>
  <c r="I65"/>
  <c r="I64"/>
  <c r="H67"/>
  <c r="H66"/>
  <c r="H65"/>
  <c r="H64"/>
  <c r="G67"/>
  <c r="G66"/>
  <c r="G65"/>
  <c r="G64"/>
  <c r="E67"/>
  <c r="E66"/>
  <c r="E65"/>
  <c r="E64"/>
  <c r="D67"/>
  <c r="D66"/>
  <c r="D65"/>
  <c r="D64"/>
  <c r="C67"/>
  <c r="C66"/>
  <c r="C65"/>
  <c r="C64"/>
  <c r="F67"/>
  <c r="F66"/>
  <c r="F65"/>
  <c r="F64"/>
  <c r="I52"/>
  <c r="I51"/>
  <c r="I50"/>
  <c r="I49"/>
  <c r="H52"/>
  <c r="H51"/>
  <c r="H50"/>
  <c r="H49"/>
  <c r="F52"/>
  <c r="F51"/>
  <c r="F50"/>
  <c r="F49"/>
  <c r="E52"/>
  <c r="E51"/>
  <c r="E50"/>
  <c r="E49"/>
  <c r="D52"/>
  <c r="D51"/>
  <c r="D50"/>
  <c r="D49"/>
  <c r="C52"/>
  <c r="C51"/>
  <c r="C50"/>
  <c r="C49"/>
  <c r="G52"/>
  <c r="G51"/>
  <c r="G50"/>
  <c r="G49"/>
  <c r="T53"/>
  <c r="T54"/>
  <c r="T56"/>
  <c r="S53"/>
  <c r="S54"/>
  <c r="S56"/>
  <c r="R53"/>
  <c r="R54"/>
  <c r="R56"/>
  <c r="P83"/>
  <c r="O53"/>
  <c r="O54"/>
  <c r="O56"/>
  <c r="M83"/>
  <c r="P53"/>
  <c r="P54"/>
  <c r="P56"/>
  <c r="N83"/>
  <c r="N53"/>
  <c r="N54"/>
  <c r="N56"/>
  <c r="L83"/>
  <c r="Q53"/>
  <c r="Q54"/>
  <c r="Q56"/>
  <c r="O83"/>
  <c r="T38"/>
  <c r="T39"/>
  <c r="T41"/>
  <c r="T43"/>
  <c r="S38"/>
  <c r="S39"/>
  <c r="S41"/>
  <c r="S43"/>
  <c r="N38"/>
  <c r="N39"/>
  <c r="P38"/>
  <c r="P39"/>
  <c r="P41"/>
  <c r="P43"/>
  <c r="R38"/>
  <c r="R39"/>
  <c r="R41"/>
  <c r="R43"/>
  <c r="O38"/>
  <c r="O39"/>
  <c r="O41"/>
  <c r="O43"/>
  <c r="Q38"/>
  <c r="Q39"/>
  <c r="Q41"/>
  <c r="Q43"/>
  <c r="S23"/>
  <c r="S24"/>
  <c r="T23"/>
  <c r="T24"/>
  <c r="N23"/>
  <c r="N24"/>
  <c r="P23"/>
  <c r="P24"/>
  <c r="P26"/>
  <c r="P28"/>
  <c r="R23"/>
  <c r="R24"/>
  <c r="R26"/>
  <c r="R28"/>
  <c r="O23"/>
  <c r="O24"/>
  <c r="O26"/>
  <c r="O28"/>
  <c r="Q23"/>
  <c r="Q24"/>
  <c r="Q26"/>
  <c r="Q28"/>
  <c r="N8"/>
  <c r="N9"/>
  <c r="O8"/>
  <c r="O9"/>
  <c r="P8"/>
  <c r="P9"/>
  <c r="R8"/>
  <c r="R9"/>
  <c r="T8"/>
  <c r="T9"/>
  <c r="Q8"/>
  <c r="Q9"/>
  <c r="S8"/>
  <c r="S9"/>
  <c r="I68"/>
  <c r="I69"/>
  <c r="H68"/>
  <c r="H69"/>
  <c r="E68"/>
  <c r="E69"/>
  <c r="G68"/>
  <c r="G69"/>
  <c r="D68"/>
  <c r="D69"/>
  <c r="C68"/>
  <c r="C69"/>
  <c r="C53"/>
  <c r="F68"/>
  <c r="F69"/>
  <c r="H53"/>
  <c r="H54"/>
  <c r="D53"/>
  <c r="D54"/>
  <c r="F53"/>
  <c r="F54"/>
  <c r="E53"/>
  <c r="E54"/>
  <c r="G53"/>
  <c r="G54"/>
  <c r="G56"/>
  <c r="I53"/>
  <c r="I54"/>
  <c r="I37"/>
  <c r="I36"/>
  <c r="I35"/>
  <c r="I34"/>
  <c r="H37"/>
  <c r="H36"/>
  <c r="H35"/>
  <c r="H34"/>
  <c r="G37"/>
  <c r="G36"/>
  <c r="G35"/>
  <c r="G34"/>
  <c r="F37"/>
  <c r="F36"/>
  <c r="F35"/>
  <c r="F34"/>
  <c r="E37"/>
  <c r="E36"/>
  <c r="E34"/>
  <c r="C37"/>
  <c r="C36"/>
  <c r="C35"/>
  <c r="C34"/>
  <c r="D37"/>
  <c r="D36"/>
  <c r="D35"/>
  <c r="D34"/>
  <c r="I22"/>
  <c r="I21"/>
  <c r="I20"/>
  <c r="I19"/>
  <c r="H22"/>
  <c r="H21"/>
  <c r="H20"/>
  <c r="H19"/>
  <c r="G22"/>
  <c r="G21"/>
  <c r="G20"/>
  <c r="G19"/>
  <c r="F22"/>
  <c r="F21"/>
  <c r="F20"/>
  <c r="F19"/>
  <c r="E22"/>
  <c r="E21"/>
  <c r="E20"/>
  <c r="E19"/>
  <c r="D22"/>
  <c r="D21"/>
  <c r="D20"/>
  <c r="D19"/>
  <c r="C22"/>
  <c r="C21"/>
  <c r="C20"/>
  <c r="C19"/>
  <c r="I7"/>
  <c r="I6"/>
  <c r="H6"/>
  <c r="I5"/>
  <c r="H5"/>
  <c r="I4"/>
  <c r="H4"/>
  <c r="H7"/>
  <c r="G7"/>
  <c r="F7"/>
  <c r="E7"/>
  <c r="D7"/>
  <c r="C7"/>
  <c r="G6"/>
  <c r="F6"/>
  <c r="E6"/>
  <c r="D6"/>
  <c r="C6"/>
  <c r="G5"/>
  <c r="F5"/>
  <c r="E5"/>
  <c r="D5"/>
  <c r="C5"/>
  <c r="G4"/>
  <c r="F4"/>
  <c r="D4"/>
  <c r="C4"/>
  <c r="S58"/>
  <c r="Q83"/>
  <c r="T58"/>
  <c r="R83"/>
  <c r="R58"/>
  <c r="Q58"/>
  <c r="P58"/>
  <c r="O58"/>
  <c r="N58"/>
  <c r="N41"/>
  <c r="N26"/>
  <c r="N28"/>
  <c r="S26"/>
  <c r="S28"/>
  <c r="T26"/>
  <c r="T28"/>
  <c r="T11"/>
  <c r="T13"/>
  <c r="S11"/>
  <c r="S13"/>
  <c r="P11"/>
  <c r="P13"/>
  <c r="R11"/>
  <c r="R13"/>
  <c r="Q11"/>
  <c r="Q13"/>
  <c r="O11"/>
  <c r="O13"/>
  <c r="N11"/>
  <c r="C71"/>
  <c r="C73"/>
  <c r="I71"/>
  <c r="I73"/>
  <c r="H71"/>
  <c r="H73"/>
  <c r="G71"/>
  <c r="G73"/>
  <c r="F71"/>
  <c r="F73"/>
  <c r="E71"/>
  <c r="E73"/>
  <c r="D71"/>
  <c r="D73"/>
  <c r="I56"/>
  <c r="I58"/>
  <c r="H56"/>
  <c r="H58"/>
  <c r="C54"/>
  <c r="G58"/>
  <c r="F56"/>
  <c r="F58"/>
  <c r="E56"/>
  <c r="E58"/>
  <c r="D56"/>
  <c r="D58"/>
  <c r="I38"/>
  <c r="I39"/>
  <c r="I41"/>
  <c r="H38"/>
  <c r="H39"/>
  <c r="H41"/>
  <c r="G38"/>
  <c r="G39"/>
  <c r="G41"/>
  <c r="F38"/>
  <c r="F39"/>
  <c r="F41"/>
  <c r="G23"/>
  <c r="G24"/>
  <c r="F23"/>
  <c r="F24"/>
  <c r="F8"/>
  <c r="F9"/>
  <c r="D38"/>
  <c r="D39"/>
  <c r="D41"/>
  <c r="C38"/>
  <c r="C39"/>
  <c r="C41"/>
  <c r="E38"/>
  <c r="E39"/>
  <c r="E41"/>
  <c r="I23"/>
  <c r="I24"/>
  <c r="H23"/>
  <c r="H24"/>
  <c r="I26"/>
  <c r="I28"/>
  <c r="E23"/>
  <c r="E24"/>
  <c r="E26"/>
  <c r="D23"/>
  <c r="D24"/>
  <c r="D26"/>
  <c r="C23"/>
  <c r="C24"/>
  <c r="I8"/>
  <c r="I9"/>
  <c r="I11"/>
  <c r="H8"/>
  <c r="H9"/>
  <c r="E8"/>
  <c r="E9"/>
  <c r="G8"/>
  <c r="G9"/>
  <c r="D8"/>
  <c r="D9"/>
  <c r="C8"/>
  <c r="C9"/>
  <c r="C11"/>
  <c r="P45"/>
  <c r="S45"/>
  <c r="S60"/>
  <c r="Q60"/>
  <c r="N60"/>
  <c r="S59"/>
  <c r="Q59"/>
  <c r="N59"/>
  <c r="T60"/>
  <c r="R60"/>
  <c r="P60"/>
  <c r="T59"/>
  <c r="R59"/>
  <c r="P59"/>
  <c r="O59"/>
  <c r="O60"/>
  <c r="J83"/>
  <c r="N43"/>
  <c r="K83"/>
  <c r="H83"/>
  <c r="I83"/>
  <c r="N13"/>
  <c r="C56"/>
  <c r="C58"/>
  <c r="G83"/>
  <c r="F43"/>
  <c r="G43"/>
  <c r="E43"/>
  <c r="D43"/>
  <c r="C26"/>
  <c r="C28"/>
  <c r="H43"/>
  <c r="I43"/>
  <c r="F26"/>
  <c r="F28"/>
  <c r="I13"/>
  <c r="G11"/>
  <c r="G13"/>
  <c r="F11"/>
  <c r="F13"/>
  <c r="E11"/>
  <c r="E13"/>
  <c r="H11"/>
  <c r="H13"/>
  <c r="H26"/>
  <c r="H28"/>
  <c r="G26"/>
  <c r="G28"/>
  <c r="E28"/>
  <c r="D28"/>
  <c r="D11"/>
  <c r="T44"/>
  <c r="T45"/>
  <c r="Q45"/>
  <c r="Q44"/>
  <c r="P44"/>
  <c r="O45"/>
  <c r="O44"/>
  <c r="H75"/>
  <c r="T30"/>
  <c r="T29"/>
  <c r="S30"/>
  <c r="R30"/>
  <c r="S29"/>
  <c r="R29"/>
  <c r="Q30"/>
  <c r="Q29"/>
  <c r="T14"/>
  <c r="T15"/>
  <c r="S15"/>
  <c r="S14"/>
  <c r="R15"/>
  <c r="R14"/>
  <c r="Q15"/>
  <c r="Q14"/>
  <c r="I74"/>
  <c r="I75"/>
  <c r="H74"/>
  <c r="F75"/>
  <c r="F74"/>
  <c r="I59"/>
  <c r="I60"/>
  <c r="H60"/>
  <c r="H59"/>
  <c r="E60"/>
  <c r="C43"/>
  <c r="F83"/>
  <c r="F59"/>
  <c r="E75"/>
  <c r="E83"/>
  <c r="D13"/>
  <c r="C13"/>
  <c r="D83"/>
  <c r="N45"/>
  <c r="P30"/>
  <c r="S44"/>
  <c r="R44"/>
  <c r="R45"/>
  <c r="O15"/>
  <c r="P29"/>
  <c r="O29"/>
  <c r="O30"/>
  <c r="P14"/>
  <c r="P15"/>
  <c r="G75"/>
  <c r="O14"/>
  <c r="G74"/>
  <c r="G59"/>
  <c r="E59"/>
  <c r="E74"/>
  <c r="D74"/>
  <c r="D75"/>
  <c r="G60"/>
  <c r="F60"/>
  <c r="F29"/>
  <c r="D59"/>
  <c r="D60"/>
  <c r="F44"/>
  <c r="F45"/>
  <c r="G44"/>
  <c r="G45"/>
  <c r="H44"/>
  <c r="H45"/>
  <c r="I44"/>
  <c r="I45"/>
  <c r="E45"/>
  <c r="E44"/>
  <c r="D44"/>
  <c r="D45"/>
  <c r="H30"/>
  <c r="G30"/>
  <c r="I30"/>
  <c r="H29"/>
  <c r="G29"/>
  <c r="I29"/>
  <c r="F30"/>
  <c r="E30"/>
  <c r="D30"/>
  <c r="E29"/>
  <c r="D29"/>
  <c r="N30"/>
  <c r="N44"/>
  <c r="N15"/>
  <c r="N29"/>
  <c r="N14"/>
  <c r="C74"/>
  <c r="C75"/>
  <c r="C59"/>
  <c r="C60"/>
  <c r="C44"/>
  <c r="C15"/>
  <c r="C30"/>
  <c r="C45"/>
  <c r="I15"/>
  <c r="D14"/>
  <c r="C14"/>
  <c r="C29"/>
  <c r="E14"/>
  <c r="G14"/>
  <c r="F14"/>
  <c r="H14"/>
  <c r="D15"/>
  <c r="E15"/>
  <c r="F15"/>
  <c r="G15"/>
  <c r="H15"/>
  <c r="I14"/>
</calcChain>
</file>

<file path=xl/sharedStrings.xml><?xml version="1.0" encoding="utf-8"?>
<sst xmlns="http://schemas.openxmlformats.org/spreadsheetml/2006/main" count="359" uniqueCount="72">
  <si>
    <t>Strong</t>
  </si>
  <si>
    <t>Neutral</t>
  </si>
  <si>
    <t>Weak</t>
  </si>
  <si>
    <t>AUD/USD</t>
  </si>
  <si>
    <t>Bid</t>
  </si>
  <si>
    <t>Ask</t>
  </si>
  <si>
    <t>High</t>
  </si>
  <si>
    <t>Low</t>
  </si>
  <si>
    <t>GBP/JPY</t>
  </si>
  <si>
    <t>GBP</t>
  </si>
  <si>
    <t>GBP/CHF</t>
  </si>
  <si>
    <t>USD/CHF</t>
  </si>
  <si>
    <t>CHF</t>
  </si>
  <si>
    <t>EUR/CHF</t>
  </si>
  <si>
    <t>EUR/USD</t>
  </si>
  <si>
    <t>GBP/USD</t>
  </si>
  <si>
    <t>USD/JPY</t>
  </si>
  <si>
    <t>USD/CAD</t>
  </si>
  <si>
    <t>EUR/JPY</t>
  </si>
  <si>
    <t>EUR/GBP</t>
  </si>
  <si>
    <t>EUR/AUD</t>
  </si>
  <si>
    <t>PIP Range</t>
  </si>
  <si>
    <t>Bid Ratio</t>
  </si>
  <si>
    <t>Relative</t>
  </si>
  <si>
    <t>EUR</t>
  </si>
  <si>
    <t>AUD</t>
  </si>
  <si>
    <t>USD</t>
  </si>
  <si>
    <t>Strength</t>
  </si>
  <si>
    <t>JPY</t>
  </si>
  <si>
    <t>CAD</t>
  </si>
  <si>
    <t>Total Strength</t>
  </si>
  <si>
    <t># of evaluation points</t>
  </si>
  <si>
    <t xml:space="preserve">Match a strong with a weak currency. </t>
  </si>
  <si>
    <t>Match a strong base currency with a correlated strong</t>
  </si>
  <si>
    <t>Rising</t>
  </si>
  <si>
    <t>BUY</t>
  </si>
  <si>
    <t>SELL</t>
  </si>
  <si>
    <t>AUD/JPY</t>
  </si>
  <si>
    <t>AUD/CAD</t>
  </si>
  <si>
    <t>AUD/CHF</t>
  </si>
  <si>
    <t>CAD/CHF</t>
  </si>
  <si>
    <t>CAD/JPY</t>
  </si>
  <si>
    <t>CHF/JPY</t>
  </si>
  <si>
    <t>EUR/CAD</t>
  </si>
  <si>
    <t>GBP/AUD</t>
  </si>
  <si>
    <t>GBP/CAD</t>
  </si>
  <si>
    <t>If&gt;85</t>
  </si>
  <si>
    <t>If&lt;15</t>
  </si>
  <si>
    <t>NZD/USD</t>
  </si>
  <si>
    <t>NZD</t>
  </si>
  <si>
    <t>NZD/CHF</t>
  </si>
  <si>
    <t>NZD/JPY</t>
  </si>
  <si>
    <t>GOLD</t>
  </si>
  <si>
    <t>SILVER</t>
  </si>
  <si>
    <t>BID</t>
  </si>
  <si>
    <t>Ratio</t>
  </si>
  <si>
    <t>EUR/NZD</t>
  </si>
  <si>
    <t xml:space="preserve">EUR </t>
  </si>
  <si>
    <t>GBP/NZD</t>
  </si>
  <si>
    <t>AUD/NZD</t>
  </si>
  <si>
    <t>NZD/CAD</t>
  </si>
  <si>
    <t xml:space="preserve">NZD </t>
  </si>
  <si>
    <t>COMMODITIES &amp; INDICES</t>
  </si>
  <si>
    <t>C&amp;I</t>
  </si>
  <si>
    <t>Crude Oil</t>
  </si>
  <si>
    <t>DOW</t>
  </si>
  <si>
    <t>S&amp;P 500</t>
  </si>
  <si>
    <t>NIKKEI</t>
  </si>
  <si>
    <t>DAX</t>
  </si>
  <si>
    <t>Forex</t>
  </si>
  <si>
    <t>Commodities</t>
  </si>
  <si>
    <t>Futures</t>
  </si>
</sst>
</file>

<file path=xl/styles.xml><?xml version="1.0" encoding="utf-8"?>
<styleSheet xmlns="http://schemas.openxmlformats.org/spreadsheetml/2006/main">
  <numFmts count="3">
    <numFmt numFmtId="164" formatCode="0.0000"/>
    <numFmt numFmtId="165" formatCode="0.0%"/>
    <numFmt numFmtId="166" formatCode="0.0"/>
  </numFmts>
  <fonts count="3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i/>
      <sz val="12"/>
      <name val="Arial"/>
      <family val="2"/>
    </font>
    <font>
      <sz val="10"/>
      <color indexed="10"/>
      <name val="Arial"/>
      <family val="2"/>
    </font>
    <font>
      <sz val="10"/>
      <color indexed="8"/>
      <name val="Trebuchet MS"/>
      <family val="2"/>
    </font>
    <font>
      <b/>
      <sz val="10"/>
      <color indexed="17"/>
      <name val="Arial"/>
      <family val="2"/>
    </font>
    <font>
      <b/>
      <sz val="10"/>
      <color indexed="62"/>
      <name val="Arial"/>
      <family val="2"/>
    </font>
    <font>
      <b/>
      <sz val="10"/>
      <color indexed="10"/>
      <name val="Arial"/>
      <family val="2"/>
    </font>
    <font>
      <b/>
      <sz val="10"/>
      <color indexed="61"/>
      <name val="Arial"/>
      <family val="2"/>
    </font>
    <font>
      <b/>
      <sz val="10"/>
      <color indexed="12"/>
      <name val="Arial"/>
      <family val="2"/>
      <charset val="204"/>
    </font>
    <font>
      <sz val="10"/>
      <name val="Arial"/>
      <family val="2"/>
    </font>
    <font>
      <sz val="10"/>
      <color indexed="9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20"/>
      <name val="Arial"/>
      <family val="2"/>
    </font>
    <font>
      <sz val="11"/>
      <name val="Arial"/>
      <family val="2"/>
    </font>
    <font>
      <b/>
      <sz val="48"/>
      <name val="Arial"/>
      <family val="2"/>
    </font>
    <font>
      <sz val="48"/>
      <name val="Arial"/>
      <family val="2"/>
    </font>
    <font>
      <b/>
      <i/>
      <sz val="10"/>
      <color indexed="8"/>
      <name val="Arial"/>
      <family val="2"/>
    </font>
    <font>
      <i/>
      <sz val="10"/>
      <color indexed="9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i/>
      <sz val="20"/>
      <name val="Arial"/>
      <family val="2"/>
    </font>
    <font>
      <sz val="9"/>
      <color indexed="8"/>
      <name val="Arial"/>
    </font>
    <font>
      <sz val="8"/>
      <name val="Arial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4" fillId="0" borderId="0" xfId="0" applyFont="1"/>
    <xf numFmtId="0" fontId="0" fillId="0" borderId="0" xfId="0" applyAlignment="1">
      <alignment horizontal="center"/>
    </xf>
    <xf numFmtId="1" fontId="0" fillId="0" borderId="0" xfId="0" applyNumberFormat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5" fillId="2" borderId="3" xfId="0" applyFont="1" applyFill="1" applyBorder="1"/>
    <xf numFmtId="164" fontId="0" fillId="3" borderId="4" xfId="0" applyNumberFormat="1" applyFill="1" applyBorder="1" applyAlignment="1">
      <alignment horizontal="center"/>
    </xf>
    <xf numFmtId="164" fontId="0" fillId="3" borderId="5" xfId="0" applyNumberFormat="1" applyFill="1" applyBorder="1" applyAlignment="1">
      <alignment horizontal="center"/>
    </xf>
    <xf numFmtId="0" fontId="5" fillId="2" borderId="6" xfId="0" applyFont="1" applyFill="1" applyBorder="1"/>
    <xf numFmtId="164" fontId="0" fillId="3" borderId="7" xfId="0" applyNumberForma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0" fontId="5" fillId="2" borderId="8" xfId="0" applyFont="1" applyFill="1" applyBorder="1"/>
    <xf numFmtId="164" fontId="0" fillId="3" borderId="9" xfId="0" applyNumberFormat="1" applyFill="1" applyBorder="1" applyAlignment="1">
      <alignment horizontal="center"/>
    </xf>
    <xf numFmtId="164" fontId="0" fillId="3" borderId="10" xfId="0" applyNumberFormat="1" applyFill="1" applyBorder="1" applyAlignment="1">
      <alignment horizontal="center"/>
    </xf>
    <xf numFmtId="1" fontId="0" fillId="3" borderId="4" xfId="0" applyNumberFormat="1" applyFill="1" applyBorder="1" applyAlignment="1">
      <alignment horizontal="center"/>
    </xf>
    <xf numFmtId="1" fontId="0" fillId="3" borderId="5" xfId="0" applyNumberFormat="1" applyFill="1" applyBorder="1" applyAlignment="1">
      <alignment horizontal="center"/>
    </xf>
    <xf numFmtId="165" fontId="1" fillId="3" borderId="9" xfId="1" applyNumberFormat="1" applyFill="1" applyBorder="1" applyAlignment="1">
      <alignment horizontal="center"/>
    </xf>
    <xf numFmtId="165" fontId="1" fillId="3" borderId="10" xfId="1" applyNumberFormat="1" applyFill="1" applyBorder="1" applyAlignment="1">
      <alignment horizontal="center"/>
    </xf>
    <xf numFmtId="0" fontId="5" fillId="2" borderId="4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7" xfId="0" applyFont="1" applyFill="1" applyBorder="1"/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6" fillId="2" borderId="7" xfId="0" applyFont="1" applyFill="1" applyBorder="1"/>
    <xf numFmtId="0" fontId="5" fillId="2" borderId="7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0" fillId="2" borderId="9" xfId="0" applyFill="1" applyBorder="1"/>
    <xf numFmtId="0" fontId="3" fillId="2" borderId="4" xfId="0" applyFont="1" applyFill="1" applyBorder="1"/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166" fontId="0" fillId="4" borderId="15" xfId="0" applyNumberFormat="1" applyFill="1" applyBorder="1" applyAlignment="1">
      <alignment horizontal="center"/>
    </xf>
    <xf numFmtId="0" fontId="0" fillId="0" borderId="16" xfId="0" applyBorder="1"/>
    <xf numFmtId="0" fontId="6" fillId="0" borderId="17" xfId="0" applyFont="1" applyBorder="1" applyAlignment="1">
      <alignment horizontal="right"/>
    </xf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8" fillId="5" borderId="19" xfId="0" applyFont="1" applyFill="1" applyBorder="1" applyAlignment="1">
      <alignment horizontal="center"/>
    </xf>
    <xf numFmtId="0" fontId="2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14" fillId="0" borderId="0" xfId="0" applyFont="1" applyFill="1" applyAlignment="1">
      <alignment horizontal="left"/>
    </xf>
    <xf numFmtId="1" fontId="8" fillId="0" borderId="0" xfId="0" applyNumberFormat="1" applyFont="1" applyAlignment="1">
      <alignment horizontal="right"/>
    </xf>
    <xf numFmtId="0" fontId="0" fillId="6" borderId="0" xfId="0" applyFill="1"/>
    <xf numFmtId="0" fontId="15" fillId="0" borderId="0" xfId="0" applyFont="1" applyAlignment="1"/>
    <xf numFmtId="0" fontId="17" fillId="7" borderId="20" xfId="0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164" fontId="0" fillId="6" borderId="0" xfId="0" applyNumberFormat="1" applyFill="1" applyBorder="1" applyAlignment="1">
      <alignment horizontal="center"/>
    </xf>
    <xf numFmtId="0" fontId="5" fillId="6" borderId="0" xfId="0" applyFont="1" applyFill="1" applyBorder="1" applyAlignment="1">
      <alignment horizontal="center"/>
    </xf>
    <xf numFmtId="0" fontId="2" fillId="6" borderId="0" xfId="0" applyFont="1" applyFill="1" applyBorder="1" applyAlignment="1">
      <alignment horizontal="center"/>
    </xf>
    <xf numFmtId="1" fontId="0" fillId="6" borderId="0" xfId="0" applyNumberFormat="1" applyFill="1" applyBorder="1" applyAlignment="1">
      <alignment horizontal="center"/>
    </xf>
    <xf numFmtId="165" fontId="1" fillId="6" borderId="0" xfId="1" applyNumberForma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164" fontId="0" fillId="3" borderId="21" xfId="0" applyNumberFormat="1" applyFill="1" applyBorder="1" applyAlignment="1">
      <alignment horizontal="center"/>
    </xf>
    <xf numFmtId="164" fontId="0" fillId="3" borderId="22" xfId="0" applyNumberFormat="1" applyFill="1" applyBorder="1" applyAlignment="1">
      <alignment horizontal="center"/>
    </xf>
    <xf numFmtId="164" fontId="0" fillId="3" borderId="23" xfId="0" applyNumberFormat="1" applyFill="1" applyBorder="1" applyAlignment="1">
      <alignment horizontal="center"/>
    </xf>
    <xf numFmtId="1" fontId="0" fillId="3" borderId="21" xfId="0" applyNumberFormat="1" applyFill="1" applyBorder="1" applyAlignment="1">
      <alignment horizontal="center"/>
    </xf>
    <xf numFmtId="165" fontId="1" fillId="3" borderId="23" xfId="1" applyNumberForma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0" fontId="0" fillId="6" borderId="0" xfId="0" applyFill="1" applyBorder="1"/>
    <xf numFmtId="1" fontId="16" fillId="6" borderId="0" xfId="0" applyNumberFormat="1" applyFont="1" applyFill="1" applyBorder="1" applyAlignment="1">
      <alignment horizontal="center"/>
    </xf>
    <xf numFmtId="1" fontId="16" fillId="6" borderId="0" xfId="1" applyNumberFormat="1" applyFont="1" applyFill="1" applyBorder="1" applyAlignment="1">
      <alignment horizontal="center"/>
    </xf>
    <xf numFmtId="0" fontId="2" fillId="7" borderId="25" xfId="0" applyFont="1" applyFill="1" applyBorder="1" applyAlignment="1">
      <alignment horizontal="center"/>
    </xf>
    <xf numFmtId="0" fontId="2" fillId="8" borderId="25" xfId="0" applyFont="1" applyFill="1" applyBorder="1" applyAlignment="1">
      <alignment horizontal="center"/>
    </xf>
    <xf numFmtId="0" fontId="2" fillId="5" borderId="25" xfId="0" applyFont="1" applyFill="1" applyBorder="1" applyAlignment="1">
      <alignment horizontal="center"/>
    </xf>
    <xf numFmtId="0" fontId="2" fillId="4" borderId="25" xfId="0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16" fillId="6" borderId="25" xfId="0" applyFont="1" applyFill="1" applyBorder="1" applyAlignment="1">
      <alignment horizontal="center"/>
    </xf>
    <xf numFmtId="0" fontId="2" fillId="0" borderId="26" xfId="0" applyFont="1" applyBorder="1" applyAlignment="1"/>
    <xf numFmtId="0" fontId="20" fillId="0" borderId="27" xfId="0" applyFont="1" applyFill="1" applyBorder="1" applyAlignment="1"/>
    <xf numFmtId="0" fontId="18" fillId="6" borderId="0" xfId="0" applyFont="1" applyFill="1" applyBorder="1"/>
    <xf numFmtId="0" fontId="6" fillId="6" borderId="0" xfId="0" applyFont="1" applyFill="1" applyBorder="1"/>
    <xf numFmtId="0" fontId="6" fillId="6" borderId="0" xfId="0" applyFont="1" applyFill="1" applyBorder="1" applyAlignment="1">
      <alignment horizontal="center"/>
    </xf>
    <xf numFmtId="0" fontId="23" fillId="6" borderId="0" xfId="0" applyFont="1" applyFill="1" applyBorder="1"/>
    <xf numFmtId="0" fontId="24" fillId="6" borderId="0" xfId="0" applyFont="1" applyFill="1" applyBorder="1" applyAlignment="1">
      <alignment horizontal="center"/>
    </xf>
    <xf numFmtId="0" fontId="5" fillId="6" borderId="0" xfId="0" applyFont="1" applyFill="1" applyBorder="1" applyAlignment="1"/>
    <xf numFmtId="2" fontId="0" fillId="3" borderId="5" xfId="0" applyNumberFormat="1" applyFill="1" applyBorder="1" applyAlignment="1">
      <alignment horizontal="center"/>
    </xf>
    <xf numFmtId="2" fontId="0" fillId="3" borderId="0" xfId="0" applyNumberFormat="1" applyFill="1" applyBorder="1" applyAlignment="1">
      <alignment horizontal="center"/>
    </xf>
    <xf numFmtId="2" fontId="0" fillId="3" borderId="10" xfId="0" applyNumberFormat="1" applyFill="1" applyBorder="1" applyAlignment="1">
      <alignment horizontal="center"/>
    </xf>
    <xf numFmtId="2" fontId="0" fillId="3" borderId="21" xfId="0" applyNumberFormat="1" applyFill="1" applyBorder="1" applyAlignment="1">
      <alignment horizontal="center"/>
    </xf>
    <xf numFmtId="2" fontId="0" fillId="3" borderId="22" xfId="0" applyNumberFormat="1" applyFill="1" applyBorder="1" applyAlignment="1">
      <alignment horizontal="center"/>
    </xf>
    <xf numFmtId="2" fontId="0" fillId="3" borderId="23" xfId="0" applyNumberFormat="1" applyFill="1" applyBorder="1" applyAlignment="1">
      <alignment horizontal="center"/>
    </xf>
    <xf numFmtId="0" fontId="17" fillId="8" borderId="9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center"/>
    </xf>
    <xf numFmtId="0" fontId="8" fillId="6" borderId="25" xfId="0" applyFont="1" applyFill="1" applyBorder="1" applyAlignment="1">
      <alignment horizontal="center"/>
    </xf>
    <xf numFmtId="0" fontId="19" fillId="0" borderId="0" xfId="0" applyFont="1" applyAlignment="1"/>
    <xf numFmtId="0" fontId="0" fillId="0" borderId="10" xfId="0" applyBorder="1" applyAlignment="1"/>
    <xf numFmtId="0" fontId="25" fillId="6" borderId="29" xfId="0" applyFont="1" applyFill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center" wrapText="1"/>
    </xf>
    <xf numFmtId="0" fontId="26" fillId="0" borderId="31" xfId="0" applyFont="1" applyBorder="1" applyAlignment="1">
      <alignment horizontal="center" vertical="center" wrapText="1"/>
    </xf>
    <xf numFmtId="0" fontId="26" fillId="0" borderId="22" xfId="0" applyFont="1" applyBorder="1" applyAlignment="1">
      <alignment horizontal="center" vertical="center" wrapText="1"/>
    </xf>
    <xf numFmtId="0" fontId="26" fillId="0" borderId="32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21" fillId="6" borderId="29" xfId="0" applyFont="1" applyFill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19" fillId="6" borderId="33" xfId="0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27" fillId="0" borderId="33" xfId="0" applyFont="1" applyBorder="1" applyAlignment="1">
      <alignment horizontal="center"/>
    </xf>
    <xf numFmtId="0" fontId="9" fillId="0" borderId="0" xfId="0" applyFont="1" applyAlignment="1">
      <alignment vertical="top" wrapText="1"/>
    </xf>
  </cellXfs>
  <cellStyles count="2">
    <cellStyle name="Normal" xfId="0" builtinId="0"/>
    <cellStyle name="Percent" xfId="1" builtinId="5"/>
  </cellStyles>
  <dxfs count="57">
    <dxf>
      <font>
        <condense val="0"/>
        <extend val="0"/>
        <color indexed="9"/>
      </font>
      <fill>
        <patternFill>
          <bgColor rgb="FFFF0000"/>
        </patternFill>
      </fill>
    </dxf>
    <dxf>
      <fill>
        <patternFill>
          <bgColor indexed="51"/>
        </patternFill>
      </fill>
    </dxf>
    <dxf>
      <font>
        <color theme="1" tint="4.9989318521683403E-2"/>
        <name val="Cambria"/>
        <scheme val="none"/>
      </font>
      <fill>
        <patternFill>
          <bgColor rgb="FF00FF00"/>
        </patternFill>
      </fill>
    </dxf>
    <dxf>
      <font>
        <condense val="0"/>
        <extend val="0"/>
        <color indexed="9"/>
      </font>
      <fill>
        <patternFill>
          <bgColor rgb="FFFF0000"/>
        </patternFill>
      </fill>
    </dxf>
    <dxf>
      <fill>
        <patternFill>
          <bgColor indexed="51"/>
        </patternFill>
      </fill>
    </dxf>
    <dxf>
      <font>
        <color theme="1" tint="4.9989318521683403E-2"/>
        <name val="Cambria"/>
        <scheme val="none"/>
      </font>
      <fill>
        <patternFill>
          <bgColor rgb="FF00FF00"/>
        </patternFill>
      </fill>
    </dxf>
    <dxf>
      <font>
        <condense val="0"/>
        <extend val="0"/>
        <color indexed="9"/>
      </font>
      <fill>
        <patternFill>
          <bgColor rgb="FFFF0000"/>
        </patternFill>
      </fill>
    </dxf>
    <dxf>
      <fill>
        <patternFill>
          <bgColor indexed="51"/>
        </patternFill>
      </fill>
    </dxf>
    <dxf>
      <font>
        <color theme="1" tint="4.9989318521683403E-2"/>
        <name val="Cambria"/>
        <scheme val="none"/>
      </font>
      <fill>
        <patternFill>
          <bgColor rgb="FF00FF00"/>
        </patternFill>
      </fill>
    </dxf>
    <dxf>
      <font>
        <condense val="0"/>
        <extend val="0"/>
        <color indexed="9"/>
      </font>
      <fill>
        <patternFill>
          <bgColor rgb="FFFF0000"/>
        </patternFill>
      </fill>
    </dxf>
    <dxf>
      <fill>
        <patternFill>
          <bgColor indexed="51"/>
        </patternFill>
      </fill>
    </dxf>
    <dxf>
      <font>
        <color theme="1" tint="4.9989318521683403E-2"/>
        <name val="Cambria"/>
        <scheme val="none"/>
      </font>
      <fill>
        <patternFill>
          <bgColor rgb="FF00FF00"/>
        </patternFill>
      </fill>
    </dxf>
    <dxf>
      <font>
        <condense val="0"/>
        <extend val="0"/>
        <color indexed="9"/>
      </font>
      <fill>
        <patternFill>
          <bgColor rgb="FFFF0000"/>
        </patternFill>
      </fill>
    </dxf>
    <dxf>
      <fill>
        <patternFill>
          <bgColor indexed="51"/>
        </patternFill>
      </fill>
    </dxf>
    <dxf>
      <font>
        <color theme="1" tint="4.9989318521683403E-2"/>
        <name val="Cambria"/>
        <scheme val="none"/>
      </font>
      <fill>
        <patternFill>
          <bgColor rgb="FF00FF00"/>
        </patternFill>
      </fill>
    </dxf>
    <dxf>
      <font>
        <color theme="0"/>
      </font>
    </dxf>
    <dxf>
      <font>
        <color rgb="FF00FF00"/>
      </font>
      <fill>
        <patternFill>
          <bgColor rgb="FF00FF00"/>
        </patternFill>
      </fill>
    </dxf>
    <dxf>
      <font>
        <condense val="0"/>
        <extend val="0"/>
        <color indexed="9"/>
      </font>
      <fill>
        <patternFill>
          <bgColor rgb="FFFF0000"/>
        </patternFill>
      </fill>
    </dxf>
    <dxf>
      <fill>
        <patternFill>
          <bgColor indexed="51"/>
        </patternFill>
      </fill>
    </dxf>
    <dxf>
      <font>
        <color theme="1" tint="4.9989318521683403E-2"/>
        <name val="Cambria"/>
        <scheme val="none"/>
      </font>
      <fill>
        <patternFill>
          <bgColor rgb="FF00FF00"/>
        </patternFill>
      </fill>
    </dxf>
    <dxf>
      <font>
        <condense val="0"/>
        <extend val="0"/>
        <color indexed="9"/>
      </font>
      <fill>
        <patternFill>
          <bgColor rgb="FFFF0000"/>
        </patternFill>
      </fill>
    </dxf>
    <dxf>
      <fill>
        <patternFill>
          <bgColor indexed="51"/>
        </patternFill>
      </fill>
    </dxf>
    <dxf>
      <font>
        <color theme="1" tint="4.9989318521683403E-2"/>
        <name val="Cambria"/>
        <scheme val="none"/>
      </font>
      <fill>
        <patternFill>
          <bgColor rgb="FF00FF00"/>
        </patternFill>
      </fill>
    </dxf>
    <dxf>
      <font>
        <color theme="0"/>
      </font>
    </dxf>
    <dxf>
      <font>
        <color rgb="FF00FF00"/>
      </font>
      <fill>
        <patternFill>
          <bgColor rgb="FF00FF00"/>
        </patternFill>
      </fill>
    </dxf>
    <dxf>
      <font>
        <color theme="0"/>
      </font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FF00"/>
      </font>
      <fill>
        <patternFill>
          <bgColor rgb="FF00FF00"/>
        </patternFill>
      </fill>
    </dxf>
    <dxf>
      <font>
        <color theme="0"/>
      </font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FF00"/>
      </font>
      <fill>
        <patternFill>
          <bgColor rgb="FF00FF00"/>
        </patternFill>
      </fill>
    </dxf>
    <dxf>
      <font>
        <color theme="0"/>
      </font>
    </dxf>
    <dxf>
      <font>
        <color rgb="FF00FF00"/>
      </font>
      <fill>
        <patternFill>
          <bgColor rgb="FF00FF00"/>
        </patternFill>
      </fill>
    </dxf>
    <dxf>
      <font>
        <color theme="0"/>
      </font>
    </dxf>
    <dxf>
      <font>
        <color rgb="FFFF0000"/>
      </font>
      <fill>
        <patternFill>
          <bgColor rgb="FFFF0000"/>
        </patternFill>
      </fill>
    </dxf>
    <dxf>
      <font>
        <condense val="0"/>
        <extend val="0"/>
        <color indexed="9"/>
      </font>
      <fill>
        <patternFill>
          <bgColor rgb="FFFF0000"/>
        </patternFill>
      </fill>
    </dxf>
    <dxf>
      <fill>
        <patternFill>
          <bgColor indexed="51"/>
        </patternFill>
      </fill>
    </dxf>
    <dxf>
      <font>
        <color theme="1" tint="4.9989318521683403E-2"/>
        <name val="Cambria"/>
        <scheme val="none"/>
      </font>
      <fill>
        <patternFill>
          <bgColor rgb="FF00FF00"/>
        </patternFill>
      </fill>
    </dxf>
    <dxf>
      <font>
        <color theme="0"/>
      </font>
    </dxf>
    <dxf>
      <font>
        <color rgb="FF00FF00"/>
      </font>
      <fill>
        <patternFill>
          <bgColor rgb="FF00FF00"/>
        </patternFill>
      </fill>
    </dxf>
    <dxf>
      <font>
        <color theme="0"/>
      </font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FF00"/>
      </font>
      <fill>
        <patternFill>
          <bgColor rgb="FF00FF00"/>
        </patternFill>
      </fill>
    </dxf>
    <dxf>
      <font>
        <color theme="0"/>
      </font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FF0000"/>
      </font>
      <fill>
        <patternFill>
          <bgColor rgb="FFFF0000"/>
        </patternFill>
      </fill>
    </dxf>
    <dxf>
      <font>
        <color theme="0"/>
      </font>
    </dxf>
    <dxf>
      <font>
        <color rgb="FF00FF00"/>
      </font>
      <fill>
        <patternFill>
          <bgColor rgb="FF00FF00"/>
        </patternFill>
      </fill>
    </dxf>
    <dxf>
      <font>
        <condense val="0"/>
        <extend val="0"/>
        <color indexed="9"/>
      </font>
      <fill>
        <patternFill>
          <bgColor rgb="FFFF0000"/>
        </patternFill>
      </fill>
    </dxf>
    <dxf>
      <fill>
        <patternFill>
          <bgColor indexed="51"/>
        </patternFill>
      </fill>
    </dxf>
    <dxf>
      <font>
        <color theme="1" tint="4.9989318521683403E-2"/>
        <name val="Cambria"/>
        <scheme val="none"/>
      </font>
      <fill>
        <patternFill>
          <bgColor rgb="FF00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chartsheet" Target="chartsheets/sheet1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theme" Target="theme/theme1.xml"/><Relationship Id="rId5" Type="http://schemas.openxmlformats.org/officeDocument/2006/relationships/worksheet" Target="worksheets/sheet3.xml"/><Relationship Id="rId10" Type="http://schemas.openxmlformats.org/officeDocument/2006/relationships/externalLink" Target="externalLinks/externalLink4.xml"/><Relationship Id="rId4" Type="http://schemas.openxmlformats.org/officeDocument/2006/relationships/chartsheet" Target="chartsheets/sheet2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Strength Comparison</a:t>
            </a:r>
          </a:p>
        </c:rich>
      </c:tx>
      <c:layout>
        <c:manualLayout>
          <c:xMode val="edge"/>
          <c:yMode val="edge"/>
          <c:x val="0.41509431321084866"/>
          <c:y val="1.963992246067281E-2"/>
        </c:manualLayout>
      </c:layout>
      <c:spPr>
        <a:noFill/>
        <a:ln w="25400">
          <a:noFill/>
        </a:ln>
      </c:spPr>
    </c:title>
    <c:view3D>
      <c:rotX val="20"/>
      <c:hPercent val="10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gradFill rotWithShape="0">
          <a:gsLst>
            <a:gs pos="0">
              <a:srgbClr val="FFFFFF"/>
            </a:gs>
            <a:gs pos="100000">
              <a:srgbClr val="FFFFFF">
                <a:gamma/>
                <a:shade val="46275"/>
                <a:invGamma/>
              </a:srgbClr>
            </a:gs>
          </a:gsLst>
          <a:lin ang="5400000" scaled="1"/>
        </a:gradFill>
        <a:ln w="25400">
          <a:solidFill>
            <a:srgbClr val="808080"/>
          </a:solidFill>
          <a:prstDash val="lgDash"/>
        </a:ln>
      </c:spPr>
    </c:sideWall>
    <c:backWall>
      <c:spPr>
        <a:gradFill rotWithShape="0">
          <a:gsLst>
            <a:gs pos="0">
              <a:srgbClr val="FFFFFF"/>
            </a:gs>
            <a:gs pos="100000">
              <a:srgbClr val="FFFFFF">
                <a:gamma/>
                <a:shade val="46275"/>
                <a:invGamma/>
              </a:srgbClr>
            </a:gs>
          </a:gsLst>
          <a:lin ang="5400000" scaled="1"/>
        </a:gradFill>
        <a:ln w="25400">
          <a:solidFill>
            <a:srgbClr val="808080"/>
          </a:solidFill>
          <a:prstDash val="lgDash"/>
        </a:ln>
      </c:spPr>
    </c:backWall>
    <c:plotArea>
      <c:layout>
        <c:manualLayout>
          <c:layoutTarget val="inner"/>
          <c:xMode val="edge"/>
          <c:yMode val="edge"/>
          <c:x val="4.8834628190899003E-2"/>
          <c:y val="9.3289689034369849E-2"/>
          <c:w val="0.87680355160932355"/>
          <c:h val="0.83960720130932953"/>
        </c:manualLayout>
      </c:layout>
      <c:line3DChart>
        <c:grouping val="standard"/>
        <c:varyColors val="1"/>
        <c:ser>
          <c:idx val="0"/>
          <c:order val="0"/>
          <c:tx>
            <c:v>All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dPt>
            <c:idx val="0"/>
            <c:spPr>
              <a:solidFill>
                <a:srgbClr val="9999FF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1"/>
            <c:spPr>
              <a:solidFill>
                <a:srgbClr val="993366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2"/>
            <c:spPr>
              <a:solidFill>
                <a:srgbClr val="FFFFCC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3"/>
            <c:spPr>
              <a:solidFill>
                <a:srgbClr val="CCFFFF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4"/>
            <c:spPr>
              <a:solidFill>
                <a:srgbClr val="660066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5"/>
            <c:spPr>
              <a:solidFill>
                <a:srgbClr val="FF8080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6"/>
            <c:spPr>
              <a:solidFill>
                <a:srgbClr val="0066CC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7"/>
            <c:spPr>
              <a:solidFill>
                <a:srgbClr val="9999FF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8"/>
            <c:spPr>
              <a:solidFill>
                <a:srgbClr val="9999FF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9"/>
            <c:spPr>
              <a:solidFill>
                <a:srgbClr val="9999FF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10"/>
            <c:spPr>
              <a:solidFill>
                <a:srgbClr val="9999FF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11"/>
            <c:spPr>
              <a:solidFill>
                <a:srgbClr val="9999FF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12"/>
            <c:spPr>
              <a:solidFill>
                <a:srgbClr val="9999FF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13"/>
            <c:spPr>
              <a:solidFill>
                <a:srgbClr val="9999FF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Pt>
            <c:idx val="14"/>
            <c:spPr>
              <a:solidFill>
                <a:srgbClr val="9999FF"/>
              </a:solidFill>
              <a:effectLst>
                <a:outerShdw dist="35921" dir="2700000" algn="br">
                  <a:srgbClr val="000000"/>
                </a:outerShdw>
              </a:effectLst>
            </c:spPr>
          </c:dPt>
          <c:dLbls>
            <c:numFmt formatCode="0.0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Val val="1"/>
          </c:dLbls>
          <c:cat>
            <c:strRef>
              <c:f>My_version!$D$82:$R$82</c:f>
              <c:strCache>
                <c:ptCount val="15"/>
                <c:pt idx="0">
                  <c:v>USD</c:v>
                </c:pt>
                <c:pt idx="1">
                  <c:v>EUR</c:v>
                </c:pt>
                <c:pt idx="2">
                  <c:v>GBP</c:v>
                </c:pt>
                <c:pt idx="3">
                  <c:v>CHF</c:v>
                </c:pt>
                <c:pt idx="4">
                  <c:v>CAD</c:v>
                </c:pt>
                <c:pt idx="5">
                  <c:v>AUD</c:v>
                </c:pt>
                <c:pt idx="6">
                  <c:v>JPY</c:v>
                </c:pt>
                <c:pt idx="7">
                  <c:v>NZD</c:v>
                </c:pt>
                <c:pt idx="8">
                  <c:v>GOLD</c:v>
                </c:pt>
                <c:pt idx="9">
                  <c:v>SILVER</c:v>
                </c:pt>
                <c:pt idx="10">
                  <c:v>Crude Oil</c:v>
                </c:pt>
                <c:pt idx="11">
                  <c:v>DOW</c:v>
                </c:pt>
                <c:pt idx="12">
                  <c:v>S&amp;P 500</c:v>
                </c:pt>
                <c:pt idx="13">
                  <c:v>NIKKEI</c:v>
                </c:pt>
                <c:pt idx="14">
                  <c:v>DAX</c:v>
                </c:pt>
              </c:strCache>
            </c:strRef>
          </c:cat>
          <c:val>
            <c:numRef>
              <c:f>My_version!$D$83:$R$83</c:f>
              <c:numCache>
                <c:formatCode>0.0</c:formatCode>
                <c:ptCount val="15"/>
                <c:pt idx="0">
                  <c:v>0.8571428571428571</c:v>
                </c:pt>
                <c:pt idx="1">
                  <c:v>8</c:v>
                </c:pt>
                <c:pt idx="2">
                  <c:v>6.5714285714285712</c:v>
                </c:pt>
                <c:pt idx="3">
                  <c:v>5.7142857142857144</c:v>
                </c:pt>
                <c:pt idx="4">
                  <c:v>3.4285714285714284</c:v>
                </c:pt>
                <c:pt idx="5">
                  <c:v>4.1428571428571432</c:v>
                </c:pt>
                <c:pt idx="6">
                  <c:v>3</c:v>
                </c:pt>
                <c:pt idx="7">
                  <c:v>4.7142857142857144</c:v>
                </c:pt>
                <c:pt idx="8">
                  <c:v>6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8</c:v>
                </c:pt>
                <c:pt idx="13">
                  <c:v>7</c:v>
                </c:pt>
                <c:pt idx="14">
                  <c:v>7</c:v>
                </c:pt>
              </c:numCache>
            </c:numRef>
          </c:val>
        </c:ser>
        <c:dropLines>
          <c:spPr>
            <a:ln w="12700">
              <a:solidFill>
                <a:srgbClr val="000080"/>
              </a:solidFill>
              <a:prstDash val="sysDash"/>
            </a:ln>
          </c:spPr>
        </c:dropLines>
        <c:axId val="35446144"/>
        <c:axId val="36578432"/>
        <c:axId val="35405824"/>
      </c:line3DChart>
      <c:catAx>
        <c:axId val="35446144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6578432"/>
        <c:crosses val="autoZero"/>
        <c:auto val="1"/>
        <c:lblAlgn val="ctr"/>
        <c:lblOffset val="100"/>
        <c:tickLblSkip val="1"/>
        <c:tickMarkSkip val="1"/>
        <c:noMultiLvlLbl val="1"/>
      </c:catAx>
      <c:valAx>
        <c:axId val="36578432"/>
        <c:scaling>
          <c:orientation val="minMax"/>
          <c:max val="10"/>
          <c:min val="1"/>
        </c:scaling>
        <c:axPos val="l"/>
        <c:minorGridlines>
          <c:spPr>
            <a:ln w="12700">
              <a:solidFill>
                <a:srgbClr val="003300"/>
              </a:solidFill>
              <a:prstDash val="solid"/>
            </a:ln>
          </c:spPr>
        </c:minorGridlines>
        <c:numFmt formatCode="0.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5446144"/>
        <c:crosses val="autoZero"/>
        <c:crossBetween val="between"/>
        <c:minorUnit val="10"/>
      </c:valAx>
      <c:serAx>
        <c:axId val="35405824"/>
        <c:scaling>
          <c:orientation val="minMax"/>
        </c:scaling>
        <c:axPos val="b"/>
        <c:numFmt formatCode="General" sourceLinked="1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6578432"/>
        <c:crosses val="autoZero"/>
        <c:tickLblSkip val="1"/>
        <c:tickMarkSkip val="1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944506153397492"/>
          <c:y val="0.26703257681025167"/>
          <c:w val="0.99556057159521727"/>
          <c:h val="0.9531394850153535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</c:chart>
  <c:spPr>
    <a:noFill/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Weight</a:t>
            </a:r>
          </a:p>
        </c:rich>
      </c:tx>
      <c:layout>
        <c:manualLayout>
          <c:xMode val="edge"/>
          <c:yMode val="edge"/>
          <c:x val="0.27968923418423974"/>
          <c:y val="0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9866814650388456"/>
          <c:y val="6.7395264116575676E-2"/>
          <c:w val="0.5227524972253057"/>
          <c:h val="0.85792349726775963"/>
        </c:manualLayout>
      </c:layout>
      <c:radarChart>
        <c:radarStyle val="marker"/>
        <c:varyColors val="1"/>
        <c:ser>
          <c:idx val="0"/>
          <c:order val="0"/>
          <c:tx>
            <c:v>Total</c:v>
          </c:tx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Lbls>
            <c:spPr>
              <a:noFill/>
              <a:ln w="25400">
                <a:noFill/>
              </a:ln>
            </c:spPr>
            <c:showCatName val="1"/>
          </c:dLbls>
          <c:cat>
            <c:strRef>
              <c:f>My_version!$D$82:$R$82</c:f>
              <c:strCache>
                <c:ptCount val="15"/>
                <c:pt idx="0">
                  <c:v>USD</c:v>
                </c:pt>
                <c:pt idx="1">
                  <c:v>EUR</c:v>
                </c:pt>
                <c:pt idx="2">
                  <c:v>GBP</c:v>
                </c:pt>
                <c:pt idx="3">
                  <c:v>CHF</c:v>
                </c:pt>
                <c:pt idx="4">
                  <c:v>CAD</c:v>
                </c:pt>
                <c:pt idx="5">
                  <c:v>AUD</c:v>
                </c:pt>
                <c:pt idx="6">
                  <c:v>JPY</c:v>
                </c:pt>
                <c:pt idx="7">
                  <c:v>NZD</c:v>
                </c:pt>
                <c:pt idx="8">
                  <c:v>GOLD</c:v>
                </c:pt>
                <c:pt idx="9">
                  <c:v>SILVER</c:v>
                </c:pt>
                <c:pt idx="10">
                  <c:v>Crude Oil</c:v>
                </c:pt>
                <c:pt idx="11">
                  <c:v>DOW</c:v>
                </c:pt>
                <c:pt idx="12">
                  <c:v>S&amp;P 500</c:v>
                </c:pt>
                <c:pt idx="13">
                  <c:v>NIKKEI</c:v>
                </c:pt>
                <c:pt idx="14">
                  <c:v>DAX</c:v>
                </c:pt>
              </c:strCache>
            </c:strRef>
          </c:cat>
          <c:val>
            <c:numRef>
              <c:f>My_version!$D$83:$R$83</c:f>
              <c:numCache>
                <c:formatCode>0.0</c:formatCode>
                <c:ptCount val="15"/>
                <c:pt idx="0">
                  <c:v>0.8571428571428571</c:v>
                </c:pt>
                <c:pt idx="1">
                  <c:v>8</c:v>
                </c:pt>
                <c:pt idx="2">
                  <c:v>6.5714285714285712</c:v>
                </c:pt>
                <c:pt idx="3">
                  <c:v>5.7142857142857144</c:v>
                </c:pt>
                <c:pt idx="4">
                  <c:v>3.4285714285714284</c:v>
                </c:pt>
                <c:pt idx="5">
                  <c:v>4.1428571428571432</c:v>
                </c:pt>
                <c:pt idx="6">
                  <c:v>3</c:v>
                </c:pt>
                <c:pt idx="7">
                  <c:v>4.7142857142857144</c:v>
                </c:pt>
                <c:pt idx="8">
                  <c:v>6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8</c:v>
                </c:pt>
                <c:pt idx="13">
                  <c:v>7</c:v>
                </c:pt>
                <c:pt idx="14">
                  <c:v>7</c:v>
                </c:pt>
              </c:numCache>
            </c:numRef>
          </c:val>
        </c:ser>
        <c:dLbls>
          <c:showCatName val="1"/>
        </c:dLbls>
        <c:axId val="35248000"/>
        <c:axId val="35249536"/>
      </c:radarChart>
      <c:catAx>
        <c:axId val="35248000"/>
        <c:scaling>
          <c:orientation val="minMax"/>
        </c:scaling>
        <c:axPos val="b"/>
        <c:majorGridlines>
          <c:spPr>
            <a:ln w="3175">
              <a:solidFill>
                <a:srgbClr val="FFCC00"/>
              </a:solidFill>
              <a:prstDash val="solid"/>
            </a:ln>
          </c:spPr>
        </c:majorGridlines>
        <c:numFmt formatCode="General" sourceLinked="1"/>
        <c:tickLblPos val="none"/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5249536"/>
        <c:crosses val="autoZero"/>
        <c:lblAlgn val="ctr"/>
        <c:lblOffset val="100"/>
      </c:catAx>
      <c:valAx>
        <c:axId val="35249536"/>
        <c:scaling>
          <c:orientation val="minMax"/>
          <c:max val="8"/>
          <c:min val="0"/>
        </c:scaling>
        <c:axPos val="l"/>
        <c:numFmt formatCode="0.000000" sourceLinked="0"/>
        <c:majorTickMark val="cross"/>
        <c:minorTickMark val="cross"/>
        <c:tickLblPos val="nextTo"/>
        <c:spPr>
          <a:ln w="3175">
            <a:solidFill>
              <a:srgbClr val="FFCC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C0C0C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35248000"/>
        <c:crosses val="autoZero"/>
        <c:crossBetween val="between"/>
        <c:minorUnit val="0.1"/>
        <c:dispUnits>
          <c:builtInUnit val="hundreds"/>
        </c:dispUnits>
      </c:valAx>
      <c:spPr>
        <a:gradFill rotWithShape="0">
          <a:gsLst>
            <a:gs pos="0">
              <a:srgbClr val="FFFFFF"/>
            </a:gs>
            <a:gs pos="100000">
              <a:srgbClr val="FFFFFF">
                <a:gamma/>
                <a:shade val="46275"/>
                <a:invGamma/>
              </a:srgbClr>
            </a:gs>
          </a:gsLst>
          <a:lin ang="5400000" scaled="1"/>
        </a:gradFill>
        <a:ln w="3175">
          <a:solidFill>
            <a:srgbClr val="000000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style val="3"/>
  <c:chart>
    <c:title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Strength</c:v>
          </c:tx>
          <c:dLbls>
            <c:spPr>
              <a:noFill/>
              <a:ln w="25400">
                <a:noFill/>
              </a:ln>
            </c:spPr>
            <c:dLblPos val="inEnd"/>
            <c:showVal val="1"/>
          </c:dLbls>
          <c:cat>
            <c:strRef>
              <c:f>My_version!$D$82:$R$82</c:f>
              <c:strCache>
                <c:ptCount val="15"/>
                <c:pt idx="0">
                  <c:v>USD</c:v>
                </c:pt>
                <c:pt idx="1">
                  <c:v>EUR</c:v>
                </c:pt>
                <c:pt idx="2">
                  <c:v>GBP</c:v>
                </c:pt>
                <c:pt idx="3">
                  <c:v>CHF</c:v>
                </c:pt>
                <c:pt idx="4">
                  <c:v>CAD</c:v>
                </c:pt>
                <c:pt idx="5">
                  <c:v>AUD</c:v>
                </c:pt>
                <c:pt idx="6">
                  <c:v>JPY</c:v>
                </c:pt>
                <c:pt idx="7">
                  <c:v>NZD</c:v>
                </c:pt>
                <c:pt idx="8">
                  <c:v>GOLD</c:v>
                </c:pt>
                <c:pt idx="9">
                  <c:v>SILVER</c:v>
                </c:pt>
                <c:pt idx="10">
                  <c:v>Crude Oil</c:v>
                </c:pt>
                <c:pt idx="11">
                  <c:v>DOW</c:v>
                </c:pt>
                <c:pt idx="12">
                  <c:v>S&amp;P 500</c:v>
                </c:pt>
                <c:pt idx="13">
                  <c:v>NIKKEI</c:v>
                </c:pt>
                <c:pt idx="14">
                  <c:v>DAX</c:v>
                </c:pt>
              </c:strCache>
            </c:strRef>
          </c:cat>
          <c:val>
            <c:numRef>
              <c:f>My_version!$D$83:$R$83</c:f>
              <c:numCache>
                <c:formatCode>0.0</c:formatCode>
                <c:ptCount val="15"/>
                <c:pt idx="0">
                  <c:v>0.8571428571428571</c:v>
                </c:pt>
                <c:pt idx="1">
                  <c:v>8</c:v>
                </c:pt>
                <c:pt idx="2">
                  <c:v>6.5714285714285712</c:v>
                </c:pt>
                <c:pt idx="3">
                  <c:v>5.7142857142857144</c:v>
                </c:pt>
                <c:pt idx="4">
                  <c:v>3.4285714285714284</c:v>
                </c:pt>
                <c:pt idx="5">
                  <c:v>4.1428571428571432</c:v>
                </c:pt>
                <c:pt idx="6">
                  <c:v>3</c:v>
                </c:pt>
                <c:pt idx="7">
                  <c:v>4.7142857142857144</c:v>
                </c:pt>
                <c:pt idx="8">
                  <c:v>6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8</c:v>
                </c:pt>
                <c:pt idx="13">
                  <c:v>7</c:v>
                </c:pt>
                <c:pt idx="14">
                  <c:v>7</c:v>
                </c:pt>
              </c:numCache>
            </c:numRef>
          </c:val>
        </c:ser>
        <c:gapWidth val="75"/>
        <c:overlap val="40"/>
        <c:axId val="36595584"/>
        <c:axId val="36597120"/>
      </c:barChart>
      <c:catAx>
        <c:axId val="36595584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 rot="0" vert="horz"/>
          <a:lstStyle/>
          <a:p>
            <a:pPr>
              <a:defRPr/>
            </a:pPr>
            <a:endParaRPr lang="cs-CZ"/>
          </a:p>
        </c:txPr>
        <c:crossAx val="36597120"/>
        <c:crosses val="autoZero"/>
        <c:auto val="1"/>
        <c:lblAlgn val="ctr"/>
        <c:lblOffset val="100"/>
        <c:tickLblSkip val="1"/>
        <c:tickMarkSkip val="1"/>
      </c:catAx>
      <c:valAx>
        <c:axId val="36597120"/>
        <c:scaling>
          <c:orientation val="minMax"/>
        </c:scaling>
        <c:axPos val="r"/>
        <c:majorGridlines/>
        <c:numFmt formatCode="0.0" sourceLinked="1"/>
        <c:majorTickMark val="none"/>
        <c:tickLblPos val="none"/>
        <c:crossAx val="36595584"/>
        <c:crosses val="max"/>
        <c:crossBetween val="between"/>
      </c:valAx>
    </c:plotArea>
    <c:legend>
      <c:legendPos val="r"/>
    </c:legend>
    <c:plotVisOnly val="1"/>
    <c:dispBlanksAs val="gap"/>
  </c:chart>
  <c:printSettings>
    <c:headerFooter alignWithMargins="0"/>
    <c:pageMargins b="1" l="0.75000000000000056" r="0.75000000000000056" t="1" header="0.5" footer="0.5"/>
    <c:pageSetup orientation="landscape" horizontalDpi="-2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Overall Currency Strength</c:v>
          </c:tx>
          <c:cat>
            <c:strRef>
              <c:f>My_version!$D$82:$K$82</c:f>
              <c:strCache>
                <c:ptCount val="8"/>
                <c:pt idx="0">
                  <c:v>USD</c:v>
                </c:pt>
                <c:pt idx="1">
                  <c:v>EUR</c:v>
                </c:pt>
                <c:pt idx="2">
                  <c:v>GBP</c:v>
                </c:pt>
                <c:pt idx="3">
                  <c:v>CHF</c:v>
                </c:pt>
                <c:pt idx="4">
                  <c:v>CAD</c:v>
                </c:pt>
                <c:pt idx="5">
                  <c:v>AUD</c:v>
                </c:pt>
                <c:pt idx="6">
                  <c:v>JPY</c:v>
                </c:pt>
                <c:pt idx="7">
                  <c:v>NZD</c:v>
                </c:pt>
              </c:strCache>
            </c:strRef>
          </c:cat>
          <c:val>
            <c:numRef>
              <c:f>My_version!$D$83:$K$83</c:f>
              <c:numCache>
                <c:formatCode>0.0</c:formatCode>
                <c:ptCount val="8"/>
                <c:pt idx="0">
                  <c:v>0.8571428571428571</c:v>
                </c:pt>
                <c:pt idx="1">
                  <c:v>8</c:v>
                </c:pt>
                <c:pt idx="2">
                  <c:v>6.5714285714285712</c:v>
                </c:pt>
                <c:pt idx="3">
                  <c:v>5.7142857142857144</c:v>
                </c:pt>
                <c:pt idx="4">
                  <c:v>3.4285714285714284</c:v>
                </c:pt>
                <c:pt idx="5">
                  <c:v>4.1428571428571432</c:v>
                </c:pt>
                <c:pt idx="6">
                  <c:v>3</c:v>
                </c:pt>
                <c:pt idx="7">
                  <c:v>4.7142857142857144</c:v>
                </c:pt>
              </c:numCache>
            </c:numRef>
          </c:val>
        </c:ser>
        <c:axId val="34634752"/>
        <c:axId val="34636544"/>
      </c:barChart>
      <c:catAx>
        <c:axId val="34634752"/>
        <c:scaling>
          <c:orientation val="minMax"/>
        </c:scaling>
        <c:axPos val="b"/>
        <c:numFmt formatCode="General" sourceLinked="1"/>
        <c:majorTickMark val="none"/>
        <c:tickLblPos val="nextTo"/>
        <c:crossAx val="34636544"/>
        <c:crosses val="autoZero"/>
        <c:auto val="1"/>
        <c:lblAlgn val="ctr"/>
        <c:lblOffset val="100"/>
      </c:catAx>
      <c:valAx>
        <c:axId val="34636544"/>
        <c:scaling>
          <c:orientation val="minMax"/>
        </c:scaling>
        <c:axPos val="l"/>
        <c:majorGridlines/>
        <c:title>
          <c:spPr>
            <a:noFill/>
            <a:ln w="25400">
              <a:noFill/>
            </a:ln>
          </c:spPr>
        </c:title>
        <c:numFmt formatCode="0.0" sourceLinked="1"/>
        <c:majorTickMark val="none"/>
        <c:tickLblPos val="nextTo"/>
        <c:crossAx val="3463475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75" right="0.75" top="1" bottom="1" header="0.5" footer="0.5"/>
  <pageSetup orientation="landscape" horizontalDpi="4294967294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5" right="0.75" top="1.25" bottom="1" header="0.5" footer="0.5"/>
  <pageSetup orientation="landscape" horizontalDpi="4294967294" verticalDpi="300" r:id="rId1"/>
  <headerFooter alignWithMargins="0">
    <oddHeader>&amp;Lwww.personalagent.com</oddHeader>
  </headerFooter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forexgrail.com/subscribe.html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://forexgrail.com/members/index.html" TargetMode="External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http://tomyeomans.com/" TargetMode="External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304800</xdr:colOff>
      <xdr:row>34</xdr:row>
      <xdr:rowOff>142875</xdr:rowOff>
    </xdr:to>
    <xdr:pic>
      <xdr:nvPicPr>
        <xdr:cNvPr id="2049" name="Picture 6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0"/>
          <a:ext cx="6400800" cy="5648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36</xdr:row>
      <xdr:rowOff>0</xdr:rowOff>
    </xdr:from>
    <xdr:to>
      <xdr:col>10</xdr:col>
      <xdr:colOff>342900</xdr:colOff>
      <xdr:row>38</xdr:row>
      <xdr:rowOff>57150</xdr:rowOff>
    </xdr:to>
    <xdr:pic>
      <xdr:nvPicPr>
        <xdr:cNvPr id="2050" name="Picture 7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5829300"/>
          <a:ext cx="64389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3</xdr:row>
      <xdr:rowOff>9525</xdr:rowOff>
    </xdr:from>
    <xdr:to>
      <xdr:col>8</xdr:col>
      <xdr:colOff>561975</xdr:colOff>
      <xdr:row>33</xdr:row>
      <xdr:rowOff>76200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875" y="495300"/>
          <a:ext cx="5295900" cy="492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8</xdr:col>
      <xdr:colOff>495300</xdr:colOff>
      <xdr:row>36</xdr:row>
      <xdr:rowOff>66675</xdr:rowOff>
    </xdr:to>
    <xdr:pic>
      <xdr:nvPicPr>
        <xdr:cNvPr id="3074" name="Picture 2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5667375"/>
          <a:ext cx="53721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553450" cy="5829300"/>
    <xdr:graphicFrame macro="">
      <xdr:nvGraphicFramePr>
        <xdr:cNvPr id="2" name="Shape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553450" cy="5610225"/>
    <xdr:graphicFrame macro="">
      <xdr:nvGraphicFramePr>
        <xdr:cNvPr id="2" name="Shape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1</xdr:row>
      <xdr:rowOff>142875</xdr:rowOff>
    </xdr:from>
    <xdr:to>
      <xdr:col>18</xdr:col>
      <xdr:colOff>28575</xdr:colOff>
      <xdr:row>31</xdr:row>
      <xdr:rowOff>28575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695325</xdr:colOff>
      <xdr:row>61</xdr:row>
      <xdr:rowOff>95250</xdr:rowOff>
    </xdr:from>
    <xdr:to>
      <xdr:col>18</xdr:col>
      <xdr:colOff>342900</xdr:colOff>
      <xdr:row>78</xdr:row>
      <xdr:rowOff>85725</xdr:rowOff>
    </xdr:to>
    <xdr:graphicFrame macro="">
      <xdr:nvGraphicFramePr>
        <xdr:cNvPr id="71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externalLink1.xml><?xml version="1.0" encoding="utf-8"?>
<externalLink xmlns="http://schemas.openxmlformats.org/spreadsheetml/2006/main">
  <ddeLink xmlns:r="http://schemas.openxmlformats.org/officeDocument/2006/relationships" ddeService="MT4" ddeTopic="HIGH">
    <ddeItems>
      <ddeItem name="#CLU0" advise="1">
        <values>
          <value>
            <val>81.53</val>
          </value>
        </values>
      </ddeItem>
      <ddeItem name="#EPU0" advise="1">
        <values>
          <value>
            <val>1119.25</val>
          </value>
        </values>
      </ddeItem>
      <ddeItem name="#FDXU0" advise="1">
        <values>
          <value>
            <val>6308.5</val>
          </value>
        </values>
      </ddeItem>
      <ddeItem name="#NKDU0" advise="1">
        <values>
          <value>
            <val>9705</val>
          </value>
        </values>
      </ddeItem>
      <ddeItem name="#YMU0" advise="1">
        <values>
          <value>
            <val>10605</val>
          </value>
        </values>
      </ddeItem>
      <ddeItem name="AUDCAD" advise="1">
        <values>
          <value>
            <val>0.93469999999999998</val>
          </value>
        </values>
      </ddeItem>
      <ddeItem name="AUDCHF" advise="1">
        <values>
          <value>
            <val>0.95640000000000003</val>
          </value>
        </values>
      </ddeItem>
      <ddeItem name="AUDJPY" advise="1">
        <values>
          <value>
            <val>79.3</val>
          </value>
        </values>
      </ddeItem>
      <ddeItem name="AUDNZD" advise="1">
        <values>
          <value>
            <val>1.2482</val>
          </value>
        </values>
      </ddeItem>
      <ddeItem name="AUDUSD" advise="1">
        <values>
          <value>
            <val>0.91410000000000002</val>
          </value>
        </values>
      </ddeItem>
      <ddeItem name="CADCHF" advise="1">
        <values>
          <value>
            <val>1.0239</val>
          </value>
        </values>
      </ddeItem>
      <ddeItem name="CADJPY" advise="1">
        <values>
          <value>
            <val>84.94</val>
          </value>
        </values>
      </ddeItem>
      <ddeItem name="EURAUD" advise="1">
        <values>
          <value>
            <val>1.4439</val>
          </value>
        </values>
      </ddeItem>
      <ddeItem name="EURCAD" advise="1">
        <values>
          <value>
            <val>1.3475999999999999</val>
          </value>
        </values>
      </ddeItem>
      <ddeItem name="EURGBP" advise="1">
        <values>
          <value>
            <val>0.83243</val>
          </value>
        </values>
      </ddeItem>
      <ddeItem name="EURCHF" advise="1">
        <values>
          <value>
            <val>1.3697600000000001</val>
          </value>
        </values>
      </ddeItem>
      <ddeItem name="EURJPY" advise="1">
        <values>
          <value>
            <val>114.169</val>
          </value>
        </values>
      </ddeItem>
      <ddeItem name="EURNZD" advise="1">
        <values>
          <value>
            <val>1.7990999999999999</val>
          </value>
        </values>
      </ddeItem>
      <ddeItem name="EURUSD" advise="1">
        <values>
          <value>
            <val>1.3189299999999999</val>
          </value>
        </values>
      </ddeItem>
      <ddeItem name="GBPAUD" advise="1">
        <values>
          <value>
            <val>1.7434000000000001</val>
          </value>
        </values>
      </ddeItem>
      <ddeItem name="GBPCAD" advise="1">
        <values>
          <value>
            <val>1.6265000000000001</val>
          </value>
        </values>
      </ddeItem>
      <ddeItem name="GBPCHF" advise="1">
        <values>
          <value>
            <val>1.65679</val>
          </value>
        </values>
      </ddeItem>
      <ddeItem name="GBPJPY" advise="1">
        <values>
          <value>
            <val>137.65299999999999</val>
          </value>
        </values>
      </ddeItem>
      <ddeItem name="GBPNZD" advise="1">
        <values>
          <value>
            <val>2.1692999999999998</val>
          </value>
        </values>
      </ddeItem>
      <ddeItem name="GBPUSD" advise="1">
        <values>
          <value>
            <val>1.5896699999999999</val>
          </value>
        </values>
      </ddeItem>
      <ddeItem name="GOLD" advise="1">
        <values>
          <value>
            <val>1190.3</val>
          </value>
        </values>
      </ddeItem>
      <ddeItem name="CHFJPY" advise="1">
        <values>
          <value>
            <val>83.42</val>
          </value>
        </values>
      </ddeItem>
      <ddeItem name="NZDCAD" advise="1">
        <values>
          <value>
            <val>0.75029999999999997</val>
          </value>
        </values>
      </ddeItem>
      <ddeItem name="NZDCHF" advise="1">
        <values>
          <value>
            <val>0.76849999999999996</val>
          </value>
        </values>
      </ddeItem>
      <ddeItem name="NZDJPY" advise="1">
        <values>
          <value>
            <val>63.71</val>
          </value>
        </values>
      </ddeItem>
      <ddeItem name="NZDUSD" advise="1">
        <values>
          <value>
            <val>0.73385</val>
          </value>
        </values>
      </ddeItem>
      <ddeItem name="SILVER" advise="1">
        <values>
          <value>
            <val>18.55</val>
          </value>
        </values>
      </ddeItem>
      <ddeItem name="StdDocumentName" ole="1" advise="1"/>
      <ddeItem name="USDCAD" advise="1">
        <values>
          <value>
            <val>1.02973</val>
          </value>
        </values>
      </ddeItem>
      <ddeItem name="USDCHF" advise="1">
        <values>
          <value>
            <val>1.04756</val>
          </value>
        </values>
      </ddeItem>
      <ddeItem name="USDJPY" advise="1">
        <values>
          <value>
            <val>86.88</val>
          </value>
        </values>
      </ddeItem>
    </ddeItems>
  </ddeLink>
</externalLink>
</file>

<file path=xl/externalLinks/externalLink2.xml><?xml version="1.0" encoding="utf-8"?>
<externalLink xmlns="http://schemas.openxmlformats.org/spreadsheetml/2006/main">
  <ddeLink xmlns:r="http://schemas.openxmlformats.org/officeDocument/2006/relationships" ddeService="MT4" ddeTopic="ASK">
    <ddeItems>
      <ddeItem name="#CLU0" advise="1">
        <values>
          <value>
            <val>81.31</val>
          </value>
        </values>
      </ddeItem>
      <ddeItem name="#EPU0" advise="1">
        <values>
          <value>
            <val>1118.75</val>
          </value>
        </values>
      </ddeItem>
      <ddeItem name="#FDXU0" advise="1">
        <values>
          <value>
            <val>6280</val>
          </value>
        </values>
      </ddeItem>
      <ddeItem name="#NKDU0" advise="1">
        <values>
          <value>
            <val>9700</val>
          </value>
        </values>
      </ddeItem>
      <ddeItem name="#YMU0" advise="1">
        <values>
          <value>
            <val>10592</val>
          </value>
        </values>
      </ddeItem>
      <ddeItem name="AUDCAD" advise="1">
        <values>
          <value>
            <val>0.93389999999999995</val>
          </value>
        </values>
      </ddeItem>
      <ddeItem name="AUDCHF" advise="1">
        <values>
          <value>
            <val>0.94730000000000003</val>
          </value>
        </values>
      </ddeItem>
      <ddeItem name="AUDJPY" advise="1">
        <values>
          <value>
            <val>78.98</val>
          </value>
        </values>
      </ddeItem>
      <ddeItem name="AUDNZD" advise="1">
        <values>
          <value>
            <val>1.2458</val>
          </value>
        </values>
      </ddeItem>
      <ddeItem name="AUDUSD" advise="1">
        <values>
          <value>
            <val>0.91354000000000002</val>
          </value>
        </values>
      </ddeItem>
      <ddeItem name="CADCHF" advise="1">
        <values>
          <value>
            <val>1.0147999999999999</val>
          </value>
        </values>
      </ddeItem>
      <ddeItem name="CADJPY" advise="1">
        <values>
          <value>
            <val>84.6</val>
          </value>
        </values>
      </ddeItem>
      <ddeItem name="EURAUD" advise="1">
        <values>
          <value>
            <val>1.444</val>
          </value>
        </values>
      </ddeItem>
      <ddeItem name="EURCAD" advise="1">
        <values>
          <value>
            <val>1.3482000000000001</val>
          </value>
        </values>
      </ddeItem>
      <ddeItem name="EURGBP" advise="1">
        <values>
          <value>
            <val>0.82972000000000001</val>
          </value>
        </values>
      </ddeItem>
      <ddeItem name="EURCHF" advise="1">
        <values>
          <value>
            <val>1.3673200000000001</val>
          </value>
        </values>
      </ddeItem>
      <ddeItem name="EURJPY" advise="1">
        <values>
          <value>
            <val>114.01600000000001</val>
          </value>
        </values>
      </ddeItem>
      <ddeItem name="EURNZD" advise="1">
        <values>
          <value>
            <val>1.7985</val>
          </value>
        </values>
      </ddeItem>
      <ddeItem name="EURUSD" advise="1">
        <values>
          <value>
            <val>1.319</val>
          </value>
        </values>
      </ddeItem>
      <ddeItem name="GBPAUD" advise="1">
        <values>
          <value>
            <val>1.7404999999999999</val>
          </value>
        </values>
      </ddeItem>
      <ddeItem name="GBPCAD" advise="1">
        <values>
          <value>
            <val>1.6249</val>
          </value>
        </values>
      </ddeItem>
      <ddeItem name="GBPCHF" advise="1">
        <values>
          <value>
            <val>1.64812</val>
          </value>
        </values>
      </ddeItem>
      <ddeItem name="GBPJPY" advise="1">
        <values>
          <value>
            <val>137.43199999999999</val>
          </value>
        </values>
      </ddeItem>
      <ddeItem name="GBPNZD" advise="1">
        <values>
          <value>
            <val>2.1678999999999999</val>
          </value>
        </values>
      </ddeItem>
      <ddeItem name="GBPUSD" advise="1">
        <values>
          <value>
            <val>1.58969</val>
          </value>
        </values>
      </ddeItem>
      <ddeItem name="GOLD" advise="1">
        <values>
          <value>
            <val>1186.2</val>
          </value>
        </values>
      </ddeItem>
      <ddeItem name="CHFJPY" advise="1">
        <values>
          <value>
            <val>83.4</val>
          </value>
        </values>
      </ddeItem>
      <ddeItem name="NZDCAD" advise="1">
        <values>
          <value>
            <val>0.75009999999999999</val>
          </value>
        </values>
      </ddeItem>
      <ddeItem name="NZDCHF" advise="1">
        <values>
          <value>
            <val>0.76070000000000004</val>
          </value>
        </values>
      </ddeItem>
      <ddeItem name="NZDJPY" advise="1">
        <values>
          <value>
            <val>63.42</val>
          </value>
        </values>
      </ddeItem>
      <ddeItem name="NZDUSD" advise="1">
        <values>
          <value>
            <val>0.73372999999999999</val>
          </value>
        </values>
      </ddeItem>
      <ddeItem name="SILVER" advise="1">
        <values>
          <value>
            <val>18.47</val>
          </value>
        </values>
      </ddeItem>
      <ddeItem name="StdDocumentName" ole="1" advise="1"/>
      <ddeItem name="USDCAD" advise="1">
        <values>
          <value>
            <val>1.0220199999999999</val>
          </value>
        </values>
      </ddeItem>
      <ddeItem name="USDCHF" advise="1">
        <values>
          <value>
            <val>1.0366899999999999</val>
          </value>
        </values>
      </ddeItem>
      <ddeItem name="USDJPY" advise="1">
        <values>
          <value>
            <val>86.441000000000003</val>
          </value>
        </values>
      </ddeItem>
    </ddeItems>
  </ddeLink>
</externalLink>
</file>

<file path=xl/externalLinks/externalLink3.xml><?xml version="1.0" encoding="utf-8"?>
<externalLink xmlns="http://schemas.openxmlformats.org/spreadsheetml/2006/main">
  <ddeLink xmlns:r="http://schemas.openxmlformats.org/officeDocument/2006/relationships" ddeService="MT4" ddeTopic="bid">
    <ddeItems>
      <ddeItem name="#CLU0" advise="1">
        <values>
          <value>
            <val>81.28</val>
          </value>
        </values>
      </ddeItem>
      <ddeItem name="#EPU0" advise="1">
        <values>
          <value>
            <val>1118.25</val>
          </value>
        </values>
      </ddeItem>
      <ddeItem name="#FDXU0" advise="1">
        <values>
          <value>
            <val>6279</val>
          </value>
        </values>
      </ddeItem>
      <ddeItem name="#NKDU0" advise="1">
        <values>
          <value>
            <val>9690</val>
          </value>
        </values>
      </ddeItem>
      <ddeItem name="#YMU0" advise="1">
        <values>
          <value>
            <val>10589</val>
          </value>
        </values>
      </ddeItem>
      <ddeItem name="AUDCAD" advise="1">
        <values>
          <value>
            <val>0.93330000000000002</val>
          </value>
        </values>
      </ddeItem>
      <ddeItem name="AUDCHF" advise="1">
        <values>
          <value>
            <val>0.94669999999999999</val>
          </value>
        </values>
      </ddeItem>
      <ddeItem name="AUDJPY" advise="1">
        <values>
          <value>
            <val>78.95</val>
          </value>
        </values>
      </ddeItem>
      <ddeItem name="AUDNZD" advise="1">
        <values>
          <value>
            <val>1.2447999999999999</val>
          </value>
        </values>
      </ddeItem>
      <ddeItem name="AUDUSD" advise="1">
        <values>
          <value>
            <val>0.91339999999999999</val>
          </value>
        </values>
      </ddeItem>
      <ddeItem name="CADCHF" advise="1">
        <values>
          <value>
            <val>1.0142</val>
          </value>
        </values>
      </ddeItem>
      <ddeItem name="CADJPY" advise="1">
        <values>
          <value>
            <val>84.56</val>
          </value>
        </values>
      </ddeItem>
      <ddeItem name="EURAUD" advise="1">
        <values>
          <value>
            <val>1.4436</val>
          </value>
        </values>
      </ddeItem>
      <ddeItem name="EURCAD" advise="1">
        <values>
          <value>
            <val>1.3475999999999999</val>
          </value>
        </values>
      </ddeItem>
      <ddeItem name="EURGBP" advise="1">
        <values>
          <value>
            <val>0.82962000000000002</val>
          </value>
        </values>
      </ddeItem>
      <ddeItem name="EURCHF" advise="1">
        <values>
          <value>
            <val>1.36703</val>
          </value>
        </values>
      </ddeItem>
      <ddeItem name="EURJPY" advise="1">
        <values>
          <value>
            <val>113.988</val>
          </value>
        </values>
      </ddeItem>
      <ddeItem name="EURNZD" advise="1">
        <values>
          <value>
            <val>1.7969999999999999</val>
          </value>
        </values>
      </ddeItem>
      <ddeItem name="eurusd" advise="1">
        <values>
          <value>
            <val>1.3188200000000001</val>
          </value>
        </values>
      </ddeItem>
      <ddeItem name="GBPAUD" advise="1">
        <values>
          <value>
            <val>1.7398</val>
          </value>
        </values>
      </ddeItem>
      <ddeItem name="GBPCAD" advise="1">
        <values>
          <value>
            <val>1.6243000000000001</val>
          </value>
        </values>
      </ddeItem>
      <ddeItem name="GBPCHF" advise="1">
        <values>
          <value>
            <val>1.6475</val>
          </value>
        </values>
      </ddeItem>
      <ddeItem name="GBPJPY" advise="1">
        <values>
          <value>
            <val>137.37100000000001</val>
          </value>
        </values>
      </ddeItem>
      <ddeItem name="GBPNZD" advise="1">
        <values>
          <value>
            <val>2.1661000000000001</val>
          </value>
        </values>
      </ddeItem>
      <ddeItem name="GBPUSD" advise="1">
        <values>
          <value>
            <val>1.58948</val>
          </value>
        </values>
      </ddeItem>
      <ddeItem name="GOLD" advise="1">
        <values>
          <value>
            <val>1185.55</val>
          </value>
        </values>
      </ddeItem>
      <ddeItem name="CHFJPY" advise="1">
        <values>
          <value>
            <val>83.37</val>
          </value>
        </values>
      </ddeItem>
      <ddeItem name="NZDCAD" advise="1">
        <values>
          <value>
            <val>0.74929999999999997</val>
          </value>
        </values>
      </ddeItem>
      <ddeItem name="NZDCHF" advise="1">
        <values>
          <value>
            <val>0.75990000000000002</val>
          </value>
        </values>
      </ddeItem>
      <ddeItem name="NZDJPY" advise="1">
        <values>
          <value>
            <val>63.39</val>
          </value>
        </values>
      </ddeItem>
      <ddeItem name="NZDUSD" advise="1">
        <values>
          <value>
            <val>0.73343000000000003</val>
          </value>
        </values>
      </ddeItem>
      <ddeItem name="SILVER" advise="1">
        <values>
          <value>
            <val>18.43</val>
          </value>
        </values>
      </ddeItem>
      <ddeItem name="StdDocumentName" ole="1" advise="1"/>
      <ddeItem name="USDCAD" advise="1">
        <values>
          <value>
            <val>1.0218499999999999</val>
          </value>
        </values>
      </ddeItem>
      <ddeItem name="USDCHF" advise="1">
        <values>
          <value>
            <val>1.0365200000000001</val>
          </value>
        </values>
      </ddeItem>
      <ddeItem name="USDJPY" advise="1">
        <values>
          <value>
            <val>86.433000000000007</val>
          </value>
        </values>
      </ddeItem>
    </ddeItems>
  </ddeLink>
</externalLink>
</file>

<file path=xl/externalLinks/externalLink4.xml><?xml version="1.0" encoding="utf-8"?>
<externalLink xmlns="http://schemas.openxmlformats.org/spreadsheetml/2006/main">
  <ddeLink xmlns:r="http://schemas.openxmlformats.org/officeDocument/2006/relationships" ddeService="MT4" ddeTopic="LOW">
    <ddeItems>
      <ddeItem name="#CLU0" advise="1">
        <values>
          <value>
            <val>79.13</val>
          </value>
        </values>
      </ddeItem>
      <ddeItem name="#EPU0" advise="1">
        <values>
          <value>
            <val>1104.5</val>
          </value>
        </values>
      </ddeItem>
      <ddeItem name="#FDXU0" advise="1">
        <values>
          <value>
            <val>6186</val>
          </value>
        </values>
      </ddeItem>
      <ddeItem name="#NKDU0" advise="1">
        <values>
          <value>
            <val>9605</val>
          </value>
        </values>
      </ddeItem>
      <ddeItem name="#YMU0" advise="1">
        <values>
          <value>
            <val>10474</val>
          </value>
        </values>
      </ddeItem>
      <ddeItem name="AUDCAD" advise="1">
        <values>
          <value>
            <val>0.93059999999999998</val>
          </value>
        </values>
      </ddeItem>
      <ddeItem name="AUDCHF" advise="1">
        <values>
          <value>
            <val>0.94059999999999999</val>
          </value>
        </values>
      </ddeItem>
      <ddeItem name="AUDJPY" advise="1">
        <values>
          <value>
            <val>78.08</val>
          </value>
        </values>
      </ddeItem>
      <ddeItem name="AUDNZD" advise="1">
        <values>
          <value>
            <val>1.2423</val>
          </value>
        </values>
      </ddeItem>
      <ddeItem name="AUDUSD" advise="1">
        <values>
          <value>
            <val>0.90439999999999998</val>
          </value>
        </values>
      </ddeItem>
      <ddeItem name="CADCHF" advise="1">
        <values>
          <value>
            <val>1.0095000000000001</val>
          </value>
        </values>
      </ddeItem>
      <ddeItem name="CADJPY" advise="1">
        <values>
          <value>
            <val>83.84</val>
          </value>
        </values>
      </ddeItem>
      <ddeItem name="EURAUD" advise="1">
        <values>
          <value>
            <val>1.4305000000000001</val>
          </value>
        </values>
      </ddeItem>
      <ddeItem name="EURCAD" advise="1">
        <values>
          <value>
            <val>1.3353999999999999</val>
          </value>
        </values>
      </ddeItem>
      <ddeItem name="EURGBP" advise="1">
        <values>
          <value>
            <val>0.82535999999999998</val>
          </value>
        </values>
      </ddeItem>
      <ddeItem name="EURCHF" advise="1">
        <values>
          <value>
            <val>1.3579699999999999</val>
          </value>
        </values>
      </ddeItem>
      <ddeItem name="EURJPY" advise="1">
        <values>
          <value>
            <val>112.70699999999999</val>
          </value>
        </values>
      </ddeItem>
      <ddeItem name="EURNZD" advise="1">
        <values>
          <value>
            <val>1.7798</val>
          </value>
        </values>
      </ddeItem>
      <ddeItem name="EURUSD" advise="1">
        <values>
          <value>
            <val>1.3052900000000001</val>
          </value>
        </values>
      </ddeItem>
      <ddeItem name="GBPAUD" advise="1">
        <values>
          <value>
            <val>1.7254</val>
          </value>
        </values>
      </ddeItem>
      <ddeItem name="GBPCAD" advise="1">
        <values>
          <value>
            <val>1.6123000000000001</val>
          </value>
        </values>
      </ddeItem>
      <ddeItem name="GBPCHF" advise="1">
        <values>
          <value>
            <val>1.6325499999999999</val>
          </value>
        </values>
      </ddeItem>
      <ddeItem name="GBPJPY" advise="1">
        <values>
          <value>
            <val>135.495</val>
          </value>
        </values>
      </ddeItem>
      <ddeItem name="GBPNZD" advise="1">
        <values>
          <value>
            <val>2.1513</val>
          </value>
        </values>
      </ddeItem>
      <ddeItem name="GBPUSD" advise="1">
        <values>
          <value>
            <val>1.5694900000000001</val>
          </value>
        </values>
      </ddeItem>
      <ddeItem name="GOLD" advise="1">
        <values>
          <value>
            <val>1174.3499999999999</val>
          </value>
        </values>
      </ddeItem>
      <ddeItem name="CHFJPY" advise="1">
        <values>
          <value>
            <val>82.79</val>
          </value>
        </values>
      </ddeItem>
      <ddeItem name="NZDCAD" advise="1">
        <values>
          <value>
            <val>0.74619999999999997</val>
          </value>
        </values>
      </ddeItem>
      <ddeItem name="NZDCHF" advise="1">
        <values>
          <value>
            <val>0.75480000000000003</val>
          </value>
        </values>
      </ddeItem>
      <ddeItem name="NZDJPY" advise="1">
        <values>
          <value>
            <val>62.65</val>
          </value>
        </values>
      </ddeItem>
      <ddeItem name="NZDUSD" advise="1">
        <values>
          <value>
            <val>0.72570000000000001</val>
          </value>
        </values>
      </ddeItem>
      <ddeItem name="SILVER" advise="1">
        <values>
          <value>
            <val>17.96</val>
          </value>
        </values>
      </ddeItem>
      <ddeItem name="StdDocumentName" ole="1" advise="1"/>
      <ddeItem name="USDCAD" advise="1">
        <values>
          <value>
            <val>1.02033</val>
          </value>
        </values>
      </ddeItem>
      <ddeItem name="USDCHF" advise="1">
        <values>
          <value>
            <val>1.0364800000000001</val>
          </value>
        </values>
      </ddeItem>
      <ddeItem name="USDJPY" advise="1">
        <values>
          <value>
            <val>86.320999999999998</val>
          </value>
        </values>
      </ddeItem>
    </ddeItems>
  </dd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opLeftCell="A37" workbookViewId="0">
      <selection activeCell="C44" sqref="C44"/>
    </sheetView>
  </sheetViews>
  <sheetFormatPr defaultRowHeight="12.75"/>
  <sheetData/>
  <phoneticPr fontId="0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7" workbookViewId="0">
      <selection activeCell="O6" sqref="O6"/>
    </sheetView>
  </sheetViews>
  <sheetFormatPr defaultRowHeight="12.75"/>
  <sheetData/>
  <phoneticPr fontId="0" type="noConversion"/>
  <pageMargins left="0.75" right="0.75" top="1" bottom="1" header="0.5" footer="0.5"/>
  <pageSetup orientation="portrait" horizontalDpi="4294967294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topLeftCell="A7" workbookViewId="0">
      <selection activeCell="S8" sqref="S8"/>
    </sheetView>
  </sheetViews>
  <sheetFormatPr defaultRowHeight="12.75"/>
  <sheetData/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transitionEntry="1"/>
  <dimension ref="A1:Z124"/>
  <sheetViews>
    <sheetView showGridLines="0" tabSelected="1" topLeftCell="A43" zoomScaleNormal="100" workbookViewId="0">
      <selection activeCell="C1" sqref="C1"/>
    </sheetView>
  </sheetViews>
  <sheetFormatPr defaultRowHeight="12.75"/>
  <cols>
    <col min="1" max="1" width="2.85546875" customWidth="1"/>
    <col min="2" max="2" width="11.5703125" customWidth="1"/>
    <col min="3" max="3" width="10.7109375" style="2" customWidth="1"/>
    <col min="4" max="4" width="12.42578125" style="2" customWidth="1"/>
    <col min="5" max="5" width="9.5703125" style="2" customWidth="1"/>
    <col min="6" max="6" width="9.85546875" style="2" customWidth="1"/>
    <col min="7" max="7" width="11.42578125" style="2" customWidth="1"/>
    <col min="8" max="8" width="10.5703125" style="2" customWidth="1"/>
    <col min="9" max="9" width="9.85546875" style="2" bestFit="1" customWidth="1"/>
    <col min="10" max="10" width="9.7109375" style="2" customWidth="1"/>
    <col min="11" max="11" width="10.42578125" style="2" customWidth="1"/>
    <col min="12" max="12" width="12" style="2" customWidth="1"/>
    <col min="13" max="13" width="9.7109375" style="2" bestFit="1" customWidth="1"/>
    <col min="14" max="16" width="10.5703125" style="2" customWidth="1"/>
    <col min="17" max="17" width="10.42578125" style="2" customWidth="1"/>
    <col min="18" max="23" width="10" style="2" customWidth="1"/>
    <col min="24" max="24" width="13.85546875" customWidth="1"/>
    <col min="25" max="25" width="3.140625" style="3" bestFit="1" customWidth="1"/>
    <col min="26" max="26" width="2.28515625" style="3" bestFit="1" customWidth="1"/>
  </cols>
  <sheetData>
    <row r="1" spans="2:26" ht="38.25" customHeight="1">
      <c r="B1" s="1"/>
      <c r="C1" s="42"/>
      <c r="D1" s="41"/>
      <c r="E1" s="50"/>
      <c r="G1" s="43"/>
      <c r="H1" s="40"/>
      <c r="I1" s="50"/>
      <c r="M1" s="50"/>
      <c r="X1" s="39"/>
    </row>
    <row r="2" spans="2:26" ht="12.75" customHeight="1" thickBot="1">
      <c r="B2" s="94" t="s">
        <v>26</v>
      </c>
      <c r="E2" s="50"/>
      <c r="I2" s="50"/>
      <c r="K2" s="79"/>
      <c r="L2" s="56"/>
      <c r="M2" s="94" t="s">
        <v>25</v>
      </c>
      <c r="P2" s="50"/>
      <c r="T2" s="50"/>
      <c r="V2" s="79"/>
    </row>
    <row r="3" spans="2:26" ht="13.5" thickBot="1">
      <c r="B3" s="95"/>
      <c r="C3" s="4" t="s">
        <v>14</v>
      </c>
      <c r="D3" s="5" t="s">
        <v>15</v>
      </c>
      <c r="E3" s="5" t="s">
        <v>3</v>
      </c>
      <c r="F3" s="5" t="s">
        <v>16</v>
      </c>
      <c r="G3" s="5" t="s">
        <v>11</v>
      </c>
      <c r="H3" s="5" t="s">
        <v>17</v>
      </c>
      <c r="I3" s="5" t="s">
        <v>48</v>
      </c>
      <c r="J3" s="102" t="s">
        <v>26</v>
      </c>
      <c r="K3" s="103"/>
      <c r="L3" s="68"/>
      <c r="M3" s="95"/>
      <c r="N3" s="4" t="s">
        <v>3</v>
      </c>
      <c r="O3" s="5" t="s">
        <v>44</v>
      </c>
      <c r="P3" s="5" t="s">
        <v>20</v>
      </c>
      <c r="Q3" s="5" t="s">
        <v>37</v>
      </c>
      <c r="R3" s="5" t="s">
        <v>39</v>
      </c>
      <c r="S3" s="5" t="s">
        <v>38</v>
      </c>
      <c r="T3" s="5" t="s">
        <v>59</v>
      </c>
      <c r="U3" s="102" t="s">
        <v>25</v>
      </c>
      <c r="V3" s="103"/>
      <c r="W3" s="53"/>
      <c r="X3" s="53"/>
      <c r="Y3" s="46"/>
      <c r="Z3" s="46"/>
    </row>
    <row r="4" spans="2:26">
      <c r="B4" s="6" t="s">
        <v>6</v>
      </c>
      <c r="C4" s="7">
        <f>[1]!EURUSD</f>
        <v>1.3189299999999999</v>
      </c>
      <c r="D4" s="8">
        <f>[1]!GBPUSD</f>
        <v>1.5896699999999999</v>
      </c>
      <c r="E4" s="8">
        <f>[1]!AUDUSD</f>
        <v>0.91410000000000002</v>
      </c>
      <c r="F4" s="8">
        <f>[1]!USDJPY</f>
        <v>86.88</v>
      </c>
      <c r="G4" s="8">
        <f>[1]!USDCHF</f>
        <v>1.04756</v>
      </c>
      <c r="H4" s="8">
        <f>[1]!USDCAD</f>
        <v>1.02973</v>
      </c>
      <c r="I4" s="58">
        <f>[1]!NZDUSD</f>
        <v>0.73385</v>
      </c>
      <c r="J4" s="104"/>
      <c r="K4" s="105"/>
      <c r="L4" s="68"/>
      <c r="M4" s="6" t="s">
        <v>6</v>
      </c>
      <c r="N4" s="7">
        <f>[1]!AUDUSD</f>
        <v>0.91410000000000002</v>
      </c>
      <c r="O4" s="8">
        <f>[1]!GBPAUD</f>
        <v>1.7434000000000001</v>
      </c>
      <c r="P4" s="8">
        <f>[1]!EURAUD</f>
        <v>1.4439</v>
      </c>
      <c r="Q4" s="8">
        <f>[1]!AUDJPY</f>
        <v>79.3</v>
      </c>
      <c r="R4" s="8">
        <f>[1]!AUDCHF</f>
        <v>0.95640000000000003</v>
      </c>
      <c r="S4" s="8">
        <f>[1]!AUDCAD</f>
        <v>0.93469999999999998</v>
      </c>
      <c r="T4" s="58">
        <f>[1]!AUDNZD</f>
        <v>1.2482</v>
      </c>
      <c r="U4" s="104"/>
      <c r="V4" s="105"/>
      <c r="W4" s="51"/>
      <c r="X4" s="47"/>
      <c r="Y4" s="46"/>
      <c r="Z4" s="46"/>
    </row>
    <row r="5" spans="2:26">
      <c r="B5" s="9" t="s">
        <v>5</v>
      </c>
      <c r="C5" s="10">
        <f>[2]!EURUSD</f>
        <v>1.319</v>
      </c>
      <c r="D5" s="11">
        <f>[2]!GBPUSD</f>
        <v>1.58969</v>
      </c>
      <c r="E5" s="11">
        <f>[2]!AUDUSD</f>
        <v>0.91354000000000002</v>
      </c>
      <c r="F5" s="11">
        <f>[2]!USDJPY</f>
        <v>86.441000000000003</v>
      </c>
      <c r="G5" s="11">
        <f>[2]!USDCHF</f>
        <v>1.0366899999999999</v>
      </c>
      <c r="H5" s="11">
        <f>[2]!USDCAD</f>
        <v>1.0220199999999999</v>
      </c>
      <c r="I5" s="59">
        <f>[2]!NZDUSD</f>
        <v>0.73372999999999999</v>
      </c>
      <c r="J5" s="104"/>
      <c r="K5" s="105"/>
      <c r="L5" s="68"/>
      <c r="M5" s="9" t="s">
        <v>5</v>
      </c>
      <c r="N5" s="10">
        <f>[2]!AUDUSD</f>
        <v>0.91354000000000002</v>
      </c>
      <c r="O5" s="11">
        <f>[2]!GBPAUD</f>
        <v>1.7404999999999999</v>
      </c>
      <c r="P5" s="11">
        <f>[2]!EURAUD</f>
        <v>1.444</v>
      </c>
      <c r="Q5" s="11">
        <f>[2]!AUDJPY</f>
        <v>78.98</v>
      </c>
      <c r="R5" s="11">
        <f>[2]!AUDCHF</f>
        <v>0.94730000000000003</v>
      </c>
      <c r="S5" s="11">
        <f>[2]!AUDCAD</f>
        <v>0.93389999999999995</v>
      </c>
      <c r="T5" s="59">
        <f>[2]!AUDNZD</f>
        <v>1.2458</v>
      </c>
      <c r="U5" s="104"/>
      <c r="V5" s="105"/>
      <c r="W5" s="51"/>
      <c r="X5" s="47"/>
      <c r="Y5" s="46">
        <v>0</v>
      </c>
      <c r="Z5" s="46">
        <v>0</v>
      </c>
    </row>
    <row r="6" spans="2:26">
      <c r="B6" s="9" t="s">
        <v>4</v>
      </c>
      <c r="C6" s="10">
        <f>[3]!eurusd</f>
        <v>1.3188200000000001</v>
      </c>
      <c r="D6" s="11">
        <f>[3]!GBPUSD</f>
        <v>1.58948</v>
      </c>
      <c r="E6" s="11">
        <f>[3]!AUDUSD</f>
        <v>0.91339999999999999</v>
      </c>
      <c r="F6" s="11">
        <f>[3]!USDJPY</f>
        <v>86.433000000000007</v>
      </c>
      <c r="G6" s="11">
        <f>[3]!USDCHF</f>
        <v>1.0365200000000001</v>
      </c>
      <c r="H6" s="11">
        <f>[3]!USDCAD</f>
        <v>1.0218499999999999</v>
      </c>
      <c r="I6" s="59">
        <f>[3]!NZDUSD</f>
        <v>0.73343000000000003</v>
      </c>
      <c r="J6" s="104"/>
      <c r="K6" s="105"/>
      <c r="L6" s="68"/>
      <c r="M6" s="9" t="s">
        <v>4</v>
      </c>
      <c r="N6" s="10">
        <f>[3]!AUDUSD</f>
        <v>0.91339999999999999</v>
      </c>
      <c r="O6" s="11">
        <f>[3]!GBPAUD</f>
        <v>1.7398</v>
      </c>
      <c r="P6" s="11">
        <f>[3]!EURAUD</f>
        <v>1.4436</v>
      </c>
      <c r="Q6" s="11">
        <f>[3]!AUDJPY</f>
        <v>78.95</v>
      </c>
      <c r="R6" s="11">
        <f>[3]!AUDCHF</f>
        <v>0.94669999999999999</v>
      </c>
      <c r="S6" s="11">
        <f>[3]!AUDCAD</f>
        <v>0.93330000000000002</v>
      </c>
      <c r="T6" s="59">
        <f>[3]!AUDNZD</f>
        <v>1.2447999999999999</v>
      </c>
      <c r="U6" s="104"/>
      <c r="V6" s="105"/>
      <c r="W6" s="51"/>
      <c r="X6" s="47"/>
      <c r="Y6" s="46">
        <v>3</v>
      </c>
      <c r="Z6" s="46">
        <v>1</v>
      </c>
    </row>
    <row r="7" spans="2:26" ht="13.5" thickBot="1">
      <c r="B7" s="12" t="s">
        <v>7</v>
      </c>
      <c r="C7" s="13">
        <f>[4]!EURUSD</f>
        <v>1.3052900000000001</v>
      </c>
      <c r="D7" s="14">
        <f>[4]!GBPUSD</f>
        <v>1.5694900000000001</v>
      </c>
      <c r="E7" s="14">
        <f>[4]!AUDUSD</f>
        <v>0.90439999999999998</v>
      </c>
      <c r="F7" s="14">
        <f>[4]!USDJPY</f>
        <v>86.320999999999998</v>
      </c>
      <c r="G7" s="14">
        <f>[4]!USDCHF</f>
        <v>1.0364800000000001</v>
      </c>
      <c r="H7" s="14">
        <f>[4]!USDCAD</f>
        <v>1.02033</v>
      </c>
      <c r="I7" s="60">
        <f>[4]!NZDUSD</f>
        <v>0.72570000000000001</v>
      </c>
      <c r="J7" s="104"/>
      <c r="K7" s="105"/>
      <c r="L7" s="68"/>
      <c r="M7" s="12" t="s">
        <v>7</v>
      </c>
      <c r="N7" s="13">
        <f>[4]!AUDUSD</f>
        <v>0.90439999999999998</v>
      </c>
      <c r="O7" s="14">
        <f>[4]!GBPAUD</f>
        <v>1.7254</v>
      </c>
      <c r="P7" s="14">
        <f>[4]!EURAUD</f>
        <v>1.4305000000000001</v>
      </c>
      <c r="Q7" s="14">
        <f>[4]!AUDJPY</f>
        <v>78.08</v>
      </c>
      <c r="R7" s="14">
        <f>[4]!AUDCHF</f>
        <v>0.94059999999999999</v>
      </c>
      <c r="S7" s="14">
        <f>[4]!AUDCAD</f>
        <v>0.93059999999999998</v>
      </c>
      <c r="T7" s="60">
        <f>[4]!AUDNZD</f>
        <v>1.2423</v>
      </c>
      <c r="U7" s="104"/>
      <c r="V7" s="105"/>
      <c r="W7" s="51"/>
      <c r="X7" s="47"/>
      <c r="Y7" s="46">
        <v>10</v>
      </c>
      <c r="Z7" s="46">
        <v>2</v>
      </c>
    </row>
    <row r="8" spans="2:26">
      <c r="B8" s="6" t="s">
        <v>21</v>
      </c>
      <c r="C8" s="15">
        <f>(C4:I4-C7:I7)*10000</f>
        <v>136.39999999999876</v>
      </c>
      <c r="D8" s="16">
        <f>(C4:I4-C7:I7)*10000</f>
        <v>201.79999999999865</v>
      </c>
      <c r="E8" s="16">
        <f>(C4:I4-C7:I7)*10000</f>
        <v>97.000000000000426</v>
      </c>
      <c r="F8" s="16">
        <f>(C4:I4-C7:I7)*100</f>
        <v>55.89999999999975</v>
      </c>
      <c r="G8" s="16">
        <f>(C4:I4-C7:I7)*10000</f>
        <v>110.79999999999978</v>
      </c>
      <c r="H8" s="16">
        <f>(C4:I4-C7:I7)*10000</f>
        <v>94.000000000000753</v>
      </c>
      <c r="I8" s="61">
        <f>(C4:I4-C7:I7)*10000</f>
        <v>81.499999999999901</v>
      </c>
      <c r="J8" s="104"/>
      <c r="K8" s="105"/>
      <c r="L8" s="68"/>
      <c r="M8" s="6" t="s">
        <v>21</v>
      </c>
      <c r="N8" s="15">
        <f>(N4:T4-N7:T7)*10000</f>
        <v>97.000000000000426</v>
      </c>
      <c r="O8" s="16">
        <f>(N4:T4-N7:T7)*10000</f>
        <v>180.00000000000017</v>
      </c>
      <c r="P8" s="16">
        <f>(N4:T4-N7:T7)*10000</f>
        <v>133.99999999999858</v>
      </c>
      <c r="Q8" s="16">
        <f>(N4:T4-N7:T7)*100</f>
        <v>121.99999999999989</v>
      </c>
      <c r="R8" s="16">
        <f>(N4:T4-N7:T7)*10000</f>
        <v>158.00000000000037</v>
      </c>
      <c r="S8" s="16">
        <f>(N4:T4-N7:T7)*10000</f>
        <v>40.999999999999929</v>
      </c>
      <c r="T8" s="61">
        <f>(N4:T4-N7:T7)*10000</f>
        <v>59.000000000000163</v>
      </c>
      <c r="U8" s="104"/>
      <c r="V8" s="105"/>
      <c r="W8" s="54"/>
      <c r="Y8" s="46">
        <v>25</v>
      </c>
      <c r="Z8" s="46">
        <v>3</v>
      </c>
    </row>
    <row r="9" spans="2:26" ht="13.5" thickBot="1">
      <c r="B9" s="12" t="s">
        <v>22</v>
      </c>
      <c r="C9" s="17">
        <f>(C6:I6-C7:I7)/C8:I8*10000</f>
        <v>0.99193548387097985</v>
      </c>
      <c r="D9" s="18">
        <f>(C6:I6-C7:I7)/C8:I8*10000</f>
        <v>0.99058473736373076</v>
      </c>
      <c r="E9" s="18">
        <f>(C6:I6-C7:I7)/C8:I8*10000</f>
        <v>0.92783505154638846</v>
      </c>
      <c r="F9" s="18">
        <f>(C6:I6-C7:I7)/C8:I8*100</f>
        <v>0.20035778175314756</v>
      </c>
      <c r="G9" s="18">
        <f>(C6:I6-C7:I7)/C8:I8*10000</f>
        <v>3.6101083032527149E-3</v>
      </c>
      <c r="H9" s="18">
        <f>(C6:I6-C7:I7)/C8:I8*10000</f>
        <v>0.16170212765956954</v>
      </c>
      <c r="I9" s="62">
        <f>(C6:I6-C7:I7)/C8:I8*10000</f>
        <v>0.94846625766871462</v>
      </c>
      <c r="J9" s="104"/>
      <c r="K9" s="105"/>
      <c r="L9" s="69"/>
      <c r="M9" s="12" t="s">
        <v>22</v>
      </c>
      <c r="N9" s="17">
        <f>(N6:T6-N7:T7)/N8:T8*10000</f>
        <v>0.92783505154638846</v>
      </c>
      <c r="O9" s="18">
        <f>(N6:T6-N7:T7)/N8:T8*10000</f>
        <v>0.79999999999999749</v>
      </c>
      <c r="P9" s="18">
        <f>(N6:T6-N7:T7)/N8:T8*10000</f>
        <v>0.97761194029850962</v>
      </c>
      <c r="Q9" s="18">
        <f>(N6:T6-N7:T7)/N8:T8*100</f>
        <v>0.713114754098365</v>
      </c>
      <c r="R9" s="18">
        <f>(N6:T6-N7:T7)/N8:T8*10000</f>
        <v>0.38607594936708733</v>
      </c>
      <c r="S9" s="18">
        <f>(N6:T6-N7:T7)/N8:T8*10000</f>
        <v>0.65853658536586357</v>
      </c>
      <c r="T9" s="62">
        <f>(N6:T6-N7:T7)/N8:T8*10000</f>
        <v>0.42372881355931186</v>
      </c>
      <c r="U9" s="104"/>
      <c r="V9" s="105"/>
      <c r="W9" s="55"/>
      <c r="Y9" s="46">
        <v>40</v>
      </c>
      <c r="Z9" s="46">
        <v>4</v>
      </c>
    </row>
    <row r="10" spans="2:26">
      <c r="B10" s="19" t="s">
        <v>23</v>
      </c>
      <c r="C10" s="20" t="s">
        <v>24</v>
      </c>
      <c r="D10" s="21" t="s">
        <v>9</v>
      </c>
      <c r="E10" s="21" t="s">
        <v>25</v>
      </c>
      <c r="F10" s="21" t="s">
        <v>26</v>
      </c>
      <c r="G10" s="21" t="s">
        <v>26</v>
      </c>
      <c r="H10" s="21" t="s">
        <v>26</v>
      </c>
      <c r="I10" s="63" t="s">
        <v>49</v>
      </c>
      <c r="J10" s="104"/>
      <c r="K10" s="105"/>
      <c r="M10" s="19" t="s">
        <v>23</v>
      </c>
      <c r="N10" s="20" t="s">
        <v>25</v>
      </c>
      <c r="O10" s="21" t="s">
        <v>9</v>
      </c>
      <c r="P10" s="21" t="s">
        <v>24</v>
      </c>
      <c r="Q10" s="21" t="s">
        <v>25</v>
      </c>
      <c r="R10" s="21" t="s">
        <v>25</v>
      </c>
      <c r="S10" s="21" t="s">
        <v>25</v>
      </c>
      <c r="T10" s="63" t="s">
        <v>25</v>
      </c>
      <c r="U10" s="104"/>
      <c r="V10" s="105"/>
      <c r="W10" s="52"/>
      <c r="Y10" s="46">
        <v>50</v>
      </c>
      <c r="Z10" s="46">
        <v>5</v>
      </c>
    </row>
    <row r="11" spans="2:26" ht="14.25" customHeight="1">
      <c r="B11" s="22" t="s">
        <v>27</v>
      </c>
      <c r="C11" s="23">
        <f t="shared" ref="C11:I11" si="0">LOOKUP(100*C9,$Y5:$Y14,$Z5:$Z14)</f>
        <v>9</v>
      </c>
      <c r="D11" s="24">
        <f t="shared" si="0"/>
        <v>9</v>
      </c>
      <c r="E11" s="24">
        <f t="shared" si="0"/>
        <v>8</v>
      </c>
      <c r="F11" s="24">
        <f t="shared" si="0"/>
        <v>2</v>
      </c>
      <c r="G11" s="24">
        <f t="shared" si="0"/>
        <v>0</v>
      </c>
      <c r="H11" s="24">
        <f t="shared" si="0"/>
        <v>2</v>
      </c>
      <c r="I11" s="64">
        <f t="shared" si="0"/>
        <v>8</v>
      </c>
      <c r="J11" s="104"/>
      <c r="K11" s="105"/>
      <c r="L11" s="56"/>
      <c r="M11" s="22" t="s">
        <v>27</v>
      </c>
      <c r="N11" s="23">
        <f t="shared" ref="N11:T11" si="1">LOOKUP(100*N9,$Y5:$Y14,$Z5:$Z14)</f>
        <v>8</v>
      </c>
      <c r="O11" s="24">
        <f t="shared" si="1"/>
        <v>7</v>
      </c>
      <c r="P11" s="24">
        <f t="shared" si="1"/>
        <v>9</v>
      </c>
      <c r="Q11" s="24">
        <f t="shared" si="1"/>
        <v>6</v>
      </c>
      <c r="R11" s="24">
        <f t="shared" si="1"/>
        <v>3</v>
      </c>
      <c r="S11" s="24">
        <f t="shared" si="1"/>
        <v>6</v>
      </c>
      <c r="T11" s="64">
        <f t="shared" si="1"/>
        <v>4</v>
      </c>
      <c r="U11" s="104"/>
      <c r="V11" s="105"/>
      <c r="W11" s="56"/>
      <c r="Y11" s="46">
        <v>60</v>
      </c>
      <c r="Z11" s="46">
        <v>6</v>
      </c>
    </row>
    <row r="12" spans="2:26">
      <c r="B12" s="25"/>
      <c r="C12" s="26" t="s">
        <v>26</v>
      </c>
      <c r="D12" s="27" t="s">
        <v>26</v>
      </c>
      <c r="E12" s="27" t="s">
        <v>26</v>
      </c>
      <c r="F12" s="27" t="s">
        <v>28</v>
      </c>
      <c r="G12" s="27" t="s">
        <v>12</v>
      </c>
      <c r="H12" s="27" t="s">
        <v>29</v>
      </c>
      <c r="I12" s="65" t="s">
        <v>26</v>
      </c>
      <c r="J12" s="104"/>
      <c r="K12" s="105"/>
      <c r="L12" s="52"/>
      <c r="M12" s="25"/>
      <c r="N12" s="26" t="s">
        <v>26</v>
      </c>
      <c r="O12" s="27" t="s">
        <v>25</v>
      </c>
      <c r="P12" s="27" t="s">
        <v>25</v>
      </c>
      <c r="Q12" s="27" t="s">
        <v>28</v>
      </c>
      <c r="R12" s="27" t="s">
        <v>12</v>
      </c>
      <c r="S12" s="27" t="s">
        <v>29</v>
      </c>
      <c r="T12" s="65" t="s">
        <v>49</v>
      </c>
      <c r="U12" s="104"/>
      <c r="V12" s="105"/>
      <c r="W12" s="52"/>
      <c r="Y12" s="46">
        <v>75</v>
      </c>
      <c r="Z12" s="46">
        <v>7</v>
      </c>
    </row>
    <row r="13" spans="2:26" ht="13.5" thickBot="1">
      <c r="B13" s="28"/>
      <c r="C13" s="74">
        <f t="shared" ref="C13:I13" si="2">9-C11</f>
        <v>0</v>
      </c>
      <c r="D13" s="57">
        <f t="shared" si="2"/>
        <v>0</v>
      </c>
      <c r="E13" s="57">
        <f t="shared" si="2"/>
        <v>1</v>
      </c>
      <c r="F13" s="57">
        <f t="shared" si="2"/>
        <v>7</v>
      </c>
      <c r="G13" s="57">
        <f t="shared" si="2"/>
        <v>9</v>
      </c>
      <c r="H13" s="57">
        <f t="shared" si="2"/>
        <v>7</v>
      </c>
      <c r="I13" s="75">
        <f t="shared" si="2"/>
        <v>1</v>
      </c>
      <c r="J13" s="106"/>
      <c r="K13" s="107"/>
      <c r="L13" s="56"/>
      <c r="M13" s="28"/>
      <c r="N13" s="74">
        <f t="shared" ref="N13:T13" si="3">9-N11</f>
        <v>1</v>
      </c>
      <c r="O13" s="57">
        <f t="shared" si="3"/>
        <v>2</v>
      </c>
      <c r="P13" s="57">
        <f t="shared" si="3"/>
        <v>0</v>
      </c>
      <c r="Q13" s="57">
        <f t="shared" si="3"/>
        <v>3</v>
      </c>
      <c r="R13" s="57">
        <f t="shared" si="3"/>
        <v>6</v>
      </c>
      <c r="S13" s="57">
        <f t="shared" si="3"/>
        <v>3</v>
      </c>
      <c r="T13" s="75">
        <f t="shared" si="3"/>
        <v>5</v>
      </c>
      <c r="U13" s="106"/>
      <c r="V13" s="107"/>
      <c r="W13" s="56"/>
      <c r="Y13" s="46">
        <v>90</v>
      </c>
      <c r="Z13" s="46">
        <v>8</v>
      </c>
    </row>
    <row r="14" spans="2:26" ht="14.25">
      <c r="B14" s="70" t="s">
        <v>35</v>
      </c>
      <c r="C14" s="93">
        <f>IF(AND(E83&gt;=7.1,D83&lt;=2),1,10)</f>
        <v>1</v>
      </c>
      <c r="D14" s="93">
        <f>IF(AND(F83&gt;=7.1,D83&lt;=2),1,10)</f>
        <v>10</v>
      </c>
      <c r="E14" s="93">
        <f>IF(AND(I83&gt;=7.1,D83&lt;=2),1,10)</f>
        <v>10</v>
      </c>
      <c r="F14" s="93">
        <f>IF(AND(D83&gt;=7.1,J83&lt;=2),1,10)</f>
        <v>10</v>
      </c>
      <c r="G14" s="93">
        <f>IF(AND(D83&gt;=7.1,G83&lt;=2),1,10)</f>
        <v>10</v>
      </c>
      <c r="H14" s="93">
        <f>IF(AND(D83&gt;=7.1,H83&lt;=2),1,10)</f>
        <v>10</v>
      </c>
      <c r="I14" s="93">
        <f>IF(AND(K83&gt;=7.1,D83&lt;=2),1,10)</f>
        <v>10</v>
      </c>
      <c r="J14" s="72" t="s">
        <v>46</v>
      </c>
      <c r="K14" s="78" t="s">
        <v>54</v>
      </c>
      <c r="L14" s="56"/>
      <c r="M14" s="70" t="s">
        <v>35</v>
      </c>
      <c r="N14" s="76">
        <f>IF(AND(I83&gt;=7.1,D83&lt;=2),1,10)</f>
        <v>10</v>
      </c>
      <c r="O14" s="76">
        <f>IF(AND(F83&gt;=7.1,I83&lt;=2),1,10)</f>
        <v>10</v>
      </c>
      <c r="P14" s="76">
        <f>IF(AND(E83&gt;=7.1,I83&lt;=2),1,10)</f>
        <v>10</v>
      </c>
      <c r="Q14" s="76">
        <f>IF(AND(I83&gt;=7.1,J83&lt;=2),1,10)</f>
        <v>10</v>
      </c>
      <c r="R14" s="76">
        <f>IF(AND(I83&gt;=7.1,G83&lt;=2),1,10)</f>
        <v>10</v>
      </c>
      <c r="S14" s="76">
        <f>IF(AND(I83&gt;=7.1,H83&lt;=2),1,10)</f>
        <v>10</v>
      </c>
      <c r="T14" s="76">
        <f>IF(AND(I83&gt;=7.1,K83&lt;=2),1,10)</f>
        <v>10</v>
      </c>
      <c r="U14" s="72" t="s">
        <v>46</v>
      </c>
      <c r="V14" s="78" t="s">
        <v>54</v>
      </c>
      <c r="W14" s="56"/>
      <c r="Y14" s="46">
        <v>97</v>
      </c>
      <c r="Z14" s="46">
        <v>9</v>
      </c>
    </row>
    <row r="15" spans="2:26">
      <c r="B15" s="71" t="s">
        <v>36</v>
      </c>
      <c r="C15" s="93">
        <f>IF(AND(E83&lt;=2,D83&gt;=7.1),1,10)</f>
        <v>10</v>
      </c>
      <c r="D15" s="93">
        <f>IF(AND(F83&lt;=2,D83&gt;=7.1),1,10)</f>
        <v>10</v>
      </c>
      <c r="E15" s="93">
        <f>IF(AND(I83&lt;=2,D83&gt;=7.1),1,10)</f>
        <v>10</v>
      </c>
      <c r="F15" s="93">
        <f>IF(AND(D83&lt;=2,J83&gt;=7.1),1,10)</f>
        <v>10</v>
      </c>
      <c r="G15" s="93">
        <f>IF(AND(D83&lt;=2,G83&gt;=7.1),1,10)</f>
        <v>10</v>
      </c>
      <c r="H15" s="93">
        <f>IF(AND(D83&lt;=2,H83&gt;=7.1),1,10)</f>
        <v>10</v>
      </c>
      <c r="I15" s="93">
        <f>IF(AND(K83&lt;=2,D83&gt;=7.1),1,10)</f>
        <v>10</v>
      </c>
      <c r="J15" s="73" t="s">
        <v>47</v>
      </c>
      <c r="K15" s="77" t="s">
        <v>55</v>
      </c>
      <c r="L15" s="56"/>
      <c r="M15" s="71" t="s">
        <v>36</v>
      </c>
      <c r="N15" s="76">
        <f>IF(AND(I83&lt;=2,D83&gt;=7.1),1,10)</f>
        <v>10</v>
      </c>
      <c r="O15" s="76">
        <f>IF(AND(F83&lt;=2,I83&gt;=7.1),1,10)</f>
        <v>10</v>
      </c>
      <c r="P15" s="76">
        <f>IF(AND(E83&lt;=2,I83&gt;=7.1),1,10)</f>
        <v>10</v>
      </c>
      <c r="Q15" s="76">
        <f>IF(AND(I83&lt;=2,J83&gt;=7.1),1,10)</f>
        <v>10</v>
      </c>
      <c r="R15" s="76">
        <f>IF(AND(I83&lt;=2,G83&gt;=7.1),1,10)</f>
        <v>10</v>
      </c>
      <c r="S15" s="76">
        <f>IF(AND(I83&lt;=2,H83&gt;=7.1),1,10)</f>
        <v>10</v>
      </c>
      <c r="T15" s="76">
        <f>IF(AND(I83&lt;=2,K83&gt;=7.1),1,10)</f>
        <v>10</v>
      </c>
      <c r="U15" s="73" t="s">
        <v>47</v>
      </c>
      <c r="V15" s="77" t="s">
        <v>55</v>
      </c>
      <c r="W15" s="44"/>
      <c r="Y15" s="46"/>
      <c r="Z15" s="46"/>
    </row>
    <row r="16" spans="2:26" ht="17.25" customHeight="1">
      <c r="B16" s="67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44"/>
      <c r="Q16" s="44"/>
      <c r="R16" s="44"/>
      <c r="S16" s="44"/>
      <c r="T16" s="44"/>
      <c r="U16" s="44"/>
      <c r="V16" s="44"/>
      <c r="W16" s="44"/>
    </row>
    <row r="17" spans="2:23" ht="13.5" customHeight="1" thickBot="1">
      <c r="B17" s="94" t="s">
        <v>24</v>
      </c>
      <c r="E17" s="50"/>
      <c r="I17" s="50"/>
      <c r="K17" s="79"/>
      <c r="L17" s="56"/>
      <c r="M17" s="94" t="s">
        <v>29</v>
      </c>
      <c r="P17" s="50"/>
      <c r="T17" s="50"/>
      <c r="V17" s="79"/>
      <c r="W17" s="44"/>
    </row>
    <row r="18" spans="2:23" ht="13.5" customHeight="1" thickBot="1">
      <c r="B18" s="95"/>
      <c r="C18" s="4" t="s">
        <v>14</v>
      </c>
      <c r="D18" s="5" t="s">
        <v>19</v>
      </c>
      <c r="E18" s="5" t="s">
        <v>20</v>
      </c>
      <c r="F18" s="5" t="s">
        <v>18</v>
      </c>
      <c r="G18" s="5" t="s">
        <v>13</v>
      </c>
      <c r="H18" s="5" t="s">
        <v>43</v>
      </c>
      <c r="I18" s="5" t="s">
        <v>56</v>
      </c>
      <c r="J18" s="102" t="s">
        <v>24</v>
      </c>
      <c r="K18" s="103"/>
      <c r="L18" s="56"/>
      <c r="M18" s="95"/>
      <c r="N18" s="4" t="s">
        <v>17</v>
      </c>
      <c r="O18" s="5" t="s">
        <v>43</v>
      </c>
      <c r="P18" s="5" t="s">
        <v>45</v>
      </c>
      <c r="Q18" s="5" t="s">
        <v>41</v>
      </c>
      <c r="R18" s="5" t="s">
        <v>40</v>
      </c>
      <c r="S18" s="5" t="s">
        <v>38</v>
      </c>
      <c r="T18" s="5" t="s">
        <v>60</v>
      </c>
      <c r="U18" s="102" t="s">
        <v>29</v>
      </c>
      <c r="V18" s="103"/>
      <c r="W18" s="44"/>
    </row>
    <row r="19" spans="2:23" ht="13.5" customHeight="1">
      <c r="B19" s="6" t="s">
        <v>6</v>
      </c>
      <c r="C19" s="7">
        <f>[1]!EURUSD</f>
        <v>1.3189299999999999</v>
      </c>
      <c r="D19" s="8">
        <f>[1]!EURGBP</f>
        <v>0.83243</v>
      </c>
      <c r="E19" s="8">
        <f>[1]!EURAUD</f>
        <v>1.4439</v>
      </c>
      <c r="F19" s="8">
        <f>[1]!EURJPY</f>
        <v>114.169</v>
      </c>
      <c r="G19" s="8">
        <f>[1]!EURCHF</f>
        <v>1.3697600000000001</v>
      </c>
      <c r="H19" s="8">
        <f>[1]!EURCAD</f>
        <v>1.3475999999999999</v>
      </c>
      <c r="I19" s="58">
        <f>[1]!EURNZD</f>
        <v>1.7990999999999999</v>
      </c>
      <c r="J19" s="104"/>
      <c r="K19" s="105"/>
      <c r="L19" s="56"/>
      <c r="M19" s="6" t="s">
        <v>6</v>
      </c>
      <c r="N19" s="7">
        <f>[1]!USDCAD</f>
        <v>1.02973</v>
      </c>
      <c r="O19" s="8">
        <f>[1]!EURCAD</f>
        <v>1.3475999999999999</v>
      </c>
      <c r="P19" s="8">
        <f>[1]!GBPCAD</f>
        <v>1.6265000000000001</v>
      </c>
      <c r="Q19" s="8">
        <f>[1]!CADJPY</f>
        <v>84.94</v>
      </c>
      <c r="R19" s="8">
        <f>[1]!CADCHF</f>
        <v>1.0239</v>
      </c>
      <c r="S19" s="8">
        <f>[1]!AUDCAD</f>
        <v>0.93469999999999998</v>
      </c>
      <c r="T19" s="58">
        <f>[1]!NZDCAD</f>
        <v>0.75029999999999997</v>
      </c>
      <c r="U19" s="104"/>
      <c r="V19" s="105"/>
    </row>
    <row r="20" spans="2:23" ht="15" customHeight="1">
      <c r="B20" s="9" t="s">
        <v>5</v>
      </c>
      <c r="C20" s="10">
        <f>[2]!EURUSD</f>
        <v>1.319</v>
      </c>
      <c r="D20" s="11">
        <f>[2]!EURGBP</f>
        <v>0.82972000000000001</v>
      </c>
      <c r="E20" s="11">
        <f>[2]!EURAUD</f>
        <v>1.444</v>
      </c>
      <c r="F20" s="11">
        <f>[2]!EURJPY</f>
        <v>114.01600000000001</v>
      </c>
      <c r="G20" s="11">
        <f>[2]!EURCHF</f>
        <v>1.3673200000000001</v>
      </c>
      <c r="H20" s="11">
        <f>[2]!EURCAD</f>
        <v>1.3482000000000001</v>
      </c>
      <c r="I20" s="59">
        <f>[2]!EURNZD</f>
        <v>1.7985</v>
      </c>
      <c r="J20" s="104"/>
      <c r="K20" s="105"/>
      <c r="L20" s="56"/>
      <c r="M20" s="9" t="s">
        <v>5</v>
      </c>
      <c r="N20" s="10">
        <f>[2]!USDCAD</f>
        <v>1.0220199999999999</v>
      </c>
      <c r="O20" s="11">
        <f>[2]!EURCAD</f>
        <v>1.3482000000000001</v>
      </c>
      <c r="P20" s="11">
        <f>[2]!GBPCAD</f>
        <v>1.6249</v>
      </c>
      <c r="Q20" s="11">
        <f>[2]!CADJPY</f>
        <v>84.6</v>
      </c>
      <c r="R20" s="11">
        <f>[2]!CADCHF</f>
        <v>1.0147999999999999</v>
      </c>
      <c r="S20" s="11">
        <f>[2]!AUDCAD</f>
        <v>0.93389999999999995</v>
      </c>
      <c r="T20" s="59">
        <f>[2]!NZDCAD</f>
        <v>0.75009999999999999</v>
      </c>
      <c r="U20" s="104"/>
      <c r="V20" s="105"/>
    </row>
    <row r="21" spans="2:23" ht="13.5" customHeight="1">
      <c r="B21" s="9" t="s">
        <v>4</v>
      </c>
      <c r="C21" s="10">
        <f>[3]!eurusd</f>
        <v>1.3188200000000001</v>
      </c>
      <c r="D21" s="11">
        <f>[3]!EURGBP</f>
        <v>0.82962000000000002</v>
      </c>
      <c r="E21" s="11">
        <f>[3]!EURAUD</f>
        <v>1.4436</v>
      </c>
      <c r="F21" s="11">
        <f>[3]!EURJPY</f>
        <v>113.988</v>
      </c>
      <c r="G21" s="11">
        <f>[3]!EURCHF</f>
        <v>1.36703</v>
      </c>
      <c r="H21" s="11">
        <f>[3]!EURCAD</f>
        <v>1.3475999999999999</v>
      </c>
      <c r="I21" s="59">
        <f>[3]!EURNZD</f>
        <v>1.7969999999999999</v>
      </c>
      <c r="J21" s="104"/>
      <c r="K21" s="105"/>
      <c r="L21" s="56"/>
      <c r="M21" s="9" t="s">
        <v>4</v>
      </c>
      <c r="N21" s="10">
        <f>[3]!USDCAD</f>
        <v>1.0218499999999999</v>
      </c>
      <c r="O21" s="11">
        <f>[3]!EURCAD</f>
        <v>1.3475999999999999</v>
      </c>
      <c r="P21" s="11">
        <f>[3]!GBPCAD</f>
        <v>1.6243000000000001</v>
      </c>
      <c r="Q21" s="11">
        <f>[3]!CADJPY</f>
        <v>84.56</v>
      </c>
      <c r="R21" s="11">
        <f>[3]!CADCHF</f>
        <v>1.0142</v>
      </c>
      <c r="S21" s="11">
        <f>[3]!AUDCAD</f>
        <v>0.93330000000000002</v>
      </c>
      <c r="T21" s="59">
        <f>[3]!NZDCAD</f>
        <v>0.74929999999999997</v>
      </c>
      <c r="U21" s="104"/>
      <c r="V21" s="105"/>
    </row>
    <row r="22" spans="2:23" ht="13.5" customHeight="1" thickBot="1">
      <c r="B22" s="12" t="s">
        <v>7</v>
      </c>
      <c r="C22" s="13">
        <f>[4]!EURUSD</f>
        <v>1.3052900000000001</v>
      </c>
      <c r="D22" s="14">
        <f>[4]!EURGBP</f>
        <v>0.82535999999999998</v>
      </c>
      <c r="E22" s="14">
        <f>[4]!EURAUD</f>
        <v>1.4305000000000001</v>
      </c>
      <c r="F22" s="14">
        <f>[4]!EURJPY</f>
        <v>112.70699999999999</v>
      </c>
      <c r="G22" s="14">
        <f>[4]!EURCHF</f>
        <v>1.3579699999999999</v>
      </c>
      <c r="H22" s="14">
        <f>[4]!EURCAD</f>
        <v>1.3353999999999999</v>
      </c>
      <c r="I22" s="60">
        <f>[4]!EURNZD</f>
        <v>1.7798</v>
      </c>
      <c r="J22" s="104"/>
      <c r="K22" s="105"/>
      <c r="L22" s="56"/>
      <c r="M22" s="12" t="s">
        <v>7</v>
      </c>
      <c r="N22" s="13">
        <f>[4]!USDCAD</f>
        <v>1.02033</v>
      </c>
      <c r="O22" s="14">
        <f>[4]!EURCAD</f>
        <v>1.3353999999999999</v>
      </c>
      <c r="P22" s="14">
        <f>[4]!GBPCAD</f>
        <v>1.6123000000000001</v>
      </c>
      <c r="Q22" s="14">
        <f>[4]!CADJPY</f>
        <v>83.84</v>
      </c>
      <c r="R22" s="14">
        <f>[4]!CADCHF</f>
        <v>1.0095000000000001</v>
      </c>
      <c r="S22" s="14">
        <f>[4]!AUDCAD</f>
        <v>0.93059999999999998</v>
      </c>
      <c r="T22" s="60">
        <f>[4]!NZDCAD</f>
        <v>0.74619999999999997</v>
      </c>
      <c r="U22" s="104"/>
      <c r="V22" s="105"/>
    </row>
    <row r="23" spans="2:23" ht="13.5" customHeight="1">
      <c r="B23" s="6" t="s">
        <v>21</v>
      </c>
      <c r="C23" s="15">
        <f>(C19:I19-C22:I22)*10000</f>
        <v>136.39999999999876</v>
      </c>
      <c r="D23" s="16">
        <f>(C19:I19-C22:I22)*10000</f>
        <v>70.700000000000202</v>
      </c>
      <c r="E23" s="16">
        <f>(C19:I19-C22:I22)*10000</f>
        <v>133.99999999999858</v>
      </c>
      <c r="F23" s="16">
        <f>(C19:I19-C22:I22)*100</f>
        <v>146.20000000000033</v>
      </c>
      <c r="G23" s="16">
        <f>(C19:I19-C22:I22)*10000</f>
        <v>117.9000000000019</v>
      </c>
      <c r="H23" s="16">
        <f>(C19:I19-C22:I22)*10000</f>
        <v>121.99999999999989</v>
      </c>
      <c r="I23" s="61">
        <f>(C19:I19-C22:I22)*10000</f>
        <v>192.99999999999872</v>
      </c>
      <c r="J23" s="104"/>
      <c r="K23" s="105"/>
      <c r="L23" s="56"/>
      <c r="M23" s="6" t="s">
        <v>21</v>
      </c>
      <c r="N23" s="15">
        <f>(N19:T19-N22:T22)*10000</f>
        <v>94.000000000000753</v>
      </c>
      <c r="O23" s="16">
        <f>(N19:T19-N22:T22)*10000</f>
        <v>121.99999999999989</v>
      </c>
      <c r="P23" s="16">
        <f>(N19:T19-N22:T22)*10000</f>
        <v>141.99999999999991</v>
      </c>
      <c r="Q23" s="16">
        <f>(N19:T19-N22:T22)*100</f>
        <v>109.99999999999943</v>
      </c>
      <c r="R23" s="16">
        <f>(N19:T19-N22:T22)*10000</f>
        <v>143.99999999999969</v>
      </c>
      <c r="S23" s="16">
        <f>(N19:T19-N22:T22)*10000</f>
        <v>40.999999999999929</v>
      </c>
      <c r="T23" s="61">
        <f>(N19:T19-N22:T22)*10000</f>
        <v>40.999999999999929</v>
      </c>
      <c r="U23" s="104"/>
      <c r="V23" s="105"/>
    </row>
    <row r="24" spans="2:23" ht="13.5" customHeight="1" thickBot="1">
      <c r="B24" s="12" t="s">
        <v>22</v>
      </c>
      <c r="C24" s="17">
        <f>(C21:I21-C22:I22)/C23:I23*10000</f>
        <v>0.99193548387097985</v>
      </c>
      <c r="D24" s="18">
        <f>(C21:I21-C22:I22)/C23:I23*10000</f>
        <v>0.6025459688826067</v>
      </c>
      <c r="E24" s="18">
        <f>(C21:I21-C22:I22)/C23:I23*10000</f>
        <v>0.97761194029850962</v>
      </c>
      <c r="F24" s="18">
        <f>(C21:I21-C22:I22)/C23:I23*100</f>
        <v>0.87619699042407861</v>
      </c>
      <c r="G24" s="18">
        <f>(C21:I21-C22:I22)/C23:I23*10000</f>
        <v>0.76844783715012066</v>
      </c>
      <c r="H24" s="18">
        <f>(C21:I21-C22:I22)/C23:I23*10000</f>
        <v>1</v>
      </c>
      <c r="I24" s="62">
        <f>(C21:I21-C22:I22)/C23:I23*10000</f>
        <v>0.89119170984455931</v>
      </c>
      <c r="J24" s="104"/>
      <c r="K24" s="105"/>
      <c r="L24" s="56"/>
      <c r="M24" s="12" t="s">
        <v>22</v>
      </c>
      <c r="N24" s="17">
        <f>(N21:T21-N22:T22)/N23:T23*10000</f>
        <v>0.16170212765956954</v>
      </c>
      <c r="O24" s="18">
        <f>(N21:T21-N22:T22)/N23:T23*10000</f>
        <v>1</v>
      </c>
      <c r="P24" s="18">
        <f>(N21:T21-N22:T22)/N23:T23*10000</f>
        <v>0.84507042253521247</v>
      </c>
      <c r="Q24" s="18">
        <f>(N21:T21-N22:T22)/N23:T23*100</f>
        <v>0.65454545454545687</v>
      </c>
      <c r="R24" s="18">
        <f>(N21:T21-N22:T22)/N23:T23*10000</f>
        <v>0.32638888888888445</v>
      </c>
      <c r="S24" s="18">
        <f>(N21:T21-N22:T22)/N23:T23*10000</f>
        <v>0.65853658536586357</v>
      </c>
      <c r="T24" s="62">
        <f>(N21:T21-N22:T22)/N23:T23*10000</f>
        <v>0.7560975609756091</v>
      </c>
      <c r="U24" s="104"/>
      <c r="V24" s="105"/>
    </row>
    <row r="25" spans="2:23" ht="12.75" customHeight="1">
      <c r="B25" s="19" t="s">
        <v>23</v>
      </c>
      <c r="C25" s="20" t="s">
        <v>24</v>
      </c>
      <c r="D25" s="21" t="s">
        <v>24</v>
      </c>
      <c r="E25" s="21" t="s">
        <v>57</v>
      </c>
      <c r="F25" s="21" t="s">
        <v>24</v>
      </c>
      <c r="G25" s="21" t="s">
        <v>24</v>
      </c>
      <c r="H25" s="21" t="s">
        <v>24</v>
      </c>
      <c r="I25" s="21" t="s">
        <v>24</v>
      </c>
      <c r="J25" s="104"/>
      <c r="K25" s="105"/>
      <c r="L25" s="56"/>
      <c r="M25" s="19" t="s">
        <v>23</v>
      </c>
      <c r="N25" s="20" t="s">
        <v>26</v>
      </c>
      <c r="O25" s="21" t="s">
        <v>24</v>
      </c>
      <c r="P25" s="21" t="s">
        <v>9</v>
      </c>
      <c r="Q25" s="21" t="s">
        <v>29</v>
      </c>
      <c r="R25" s="21" t="s">
        <v>29</v>
      </c>
      <c r="S25" s="21" t="s">
        <v>25</v>
      </c>
      <c r="T25" s="21" t="s">
        <v>49</v>
      </c>
      <c r="U25" s="104"/>
      <c r="V25" s="105"/>
    </row>
    <row r="26" spans="2:23" ht="12.75" customHeight="1">
      <c r="B26" s="22" t="s">
        <v>27</v>
      </c>
      <c r="C26" s="23">
        <f t="shared" ref="C26:H26" si="4">LOOKUP(100*C24,$Y5:$Y14,$Z5:$Z14)</f>
        <v>9</v>
      </c>
      <c r="D26" s="24">
        <f t="shared" si="4"/>
        <v>6</v>
      </c>
      <c r="E26" s="24">
        <f t="shared" si="4"/>
        <v>9</v>
      </c>
      <c r="F26" s="24">
        <f t="shared" si="4"/>
        <v>7</v>
      </c>
      <c r="G26" s="24">
        <f t="shared" si="4"/>
        <v>7</v>
      </c>
      <c r="H26" s="24">
        <f t="shared" si="4"/>
        <v>9</v>
      </c>
      <c r="I26" s="64">
        <f>LOOKUP(100*H24,$Y5:$Y14,$Z5:$Z14)</f>
        <v>9</v>
      </c>
      <c r="J26" s="104"/>
      <c r="K26" s="105"/>
      <c r="L26" s="56"/>
      <c r="M26" s="22" t="s">
        <v>27</v>
      </c>
      <c r="N26" s="23">
        <f t="shared" ref="N26:S26" si="5">LOOKUP(100*N24,$Y5:$Y14,$Z5:$Z14)</f>
        <v>2</v>
      </c>
      <c r="O26" s="24">
        <f t="shared" si="5"/>
        <v>9</v>
      </c>
      <c r="P26" s="24">
        <f t="shared" si="5"/>
        <v>7</v>
      </c>
      <c r="Q26" s="24">
        <f t="shared" si="5"/>
        <v>6</v>
      </c>
      <c r="R26" s="24">
        <f t="shared" si="5"/>
        <v>3</v>
      </c>
      <c r="S26" s="24">
        <f t="shared" si="5"/>
        <v>6</v>
      </c>
      <c r="T26" s="64">
        <f>LOOKUP(100*S24,$Y5:$Y14,$Z5:$Z14)</f>
        <v>6</v>
      </c>
      <c r="U26" s="104"/>
      <c r="V26" s="105"/>
    </row>
    <row r="27" spans="2:23" ht="12.75" customHeight="1">
      <c r="B27" s="25"/>
      <c r="C27" s="26" t="s">
        <v>26</v>
      </c>
      <c r="D27" s="27" t="s">
        <v>9</v>
      </c>
      <c r="E27" s="27" t="s">
        <v>25</v>
      </c>
      <c r="F27" s="27" t="s">
        <v>28</v>
      </c>
      <c r="G27" s="27" t="s">
        <v>12</v>
      </c>
      <c r="H27" s="27" t="s">
        <v>29</v>
      </c>
      <c r="I27" s="65" t="s">
        <v>49</v>
      </c>
      <c r="J27" s="104"/>
      <c r="K27" s="105"/>
      <c r="L27" s="56"/>
      <c r="M27" s="25"/>
      <c r="N27" s="26" t="s">
        <v>29</v>
      </c>
      <c r="O27" s="27" t="s">
        <v>29</v>
      </c>
      <c r="P27" s="27" t="s">
        <v>29</v>
      </c>
      <c r="Q27" s="27" t="s">
        <v>28</v>
      </c>
      <c r="R27" s="27" t="s">
        <v>12</v>
      </c>
      <c r="S27" s="27" t="s">
        <v>29</v>
      </c>
      <c r="T27" s="65" t="s">
        <v>29</v>
      </c>
      <c r="U27" s="104"/>
      <c r="V27" s="105"/>
    </row>
    <row r="28" spans="2:23" ht="13.5" customHeight="1" thickBot="1">
      <c r="B28" s="28"/>
      <c r="C28" s="74">
        <f t="shared" ref="C28:I28" si="6">9-C26</f>
        <v>0</v>
      </c>
      <c r="D28" s="57">
        <f t="shared" si="6"/>
        <v>3</v>
      </c>
      <c r="E28" s="57">
        <f t="shared" si="6"/>
        <v>0</v>
      </c>
      <c r="F28" s="57">
        <f t="shared" si="6"/>
        <v>2</v>
      </c>
      <c r="G28" s="57">
        <f t="shared" si="6"/>
        <v>2</v>
      </c>
      <c r="H28" s="57">
        <f t="shared" si="6"/>
        <v>0</v>
      </c>
      <c r="I28" s="75">
        <f t="shared" si="6"/>
        <v>0</v>
      </c>
      <c r="J28" s="106"/>
      <c r="K28" s="107"/>
      <c r="L28" s="56"/>
      <c r="M28" s="28"/>
      <c r="N28" s="74">
        <f t="shared" ref="N28:T28" si="7">9-N26</f>
        <v>7</v>
      </c>
      <c r="O28" s="57">
        <f t="shared" si="7"/>
        <v>0</v>
      </c>
      <c r="P28" s="57">
        <f t="shared" si="7"/>
        <v>2</v>
      </c>
      <c r="Q28" s="57">
        <f t="shared" si="7"/>
        <v>3</v>
      </c>
      <c r="R28" s="57">
        <f t="shared" si="7"/>
        <v>6</v>
      </c>
      <c r="S28" s="57">
        <f t="shared" si="7"/>
        <v>3</v>
      </c>
      <c r="T28" s="75">
        <f t="shared" si="7"/>
        <v>3</v>
      </c>
      <c r="U28" s="106"/>
      <c r="V28" s="107"/>
    </row>
    <row r="29" spans="2:23" ht="14.25">
      <c r="B29" s="70" t="s">
        <v>35</v>
      </c>
      <c r="C29" s="93">
        <f>IF(AND(E83&gt;=7.1,D83&lt;=2),1,10)</f>
        <v>1</v>
      </c>
      <c r="D29" s="93">
        <f>IF(AND(E83&gt;=7.1,F83&lt;=2),1,10)</f>
        <v>10</v>
      </c>
      <c r="E29" s="93">
        <f>IF(AND(E83&gt;=7.1,I83&lt;=2),1,10)</f>
        <v>10</v>
      </c>
      <c r="F29" s="93">
        <f>IF(AND(E83&gt;=7.1,J83&lt;=2),1,10)</f>
        <v>10</v>
      </c>
      <c r="G29" s="93">
        <f>IF(AND(E83&gt;=7.1,G83&lt;=2),1,10)</f>
        <v>10</v>
      </c>
      <c r="H29" s="93">
        <f>IF(AND(E83&gt;=7.1,H83&lt;=2),1,10)</f>
        <v>10</v>
      </c>
      <c r="I29" s="93">
        <f>IF(AND(E83&gt;=7.1,K83&lt;=2),1,10)</f>
        <v>10</v>
      </c>
      <c r="J29" s="72" t="s">
        <v>46</v>
      </c>
      <c r="K29" s="78" t="s">
        <v>54</v>
      </c>
      <c r="L29" s="56"/>
      <c r="M29" s="70" t="s">
        <v>35</v>
      </c>
      <c r="N29" s="76">
        <f>IF(AND(D83&gt;=7.1,H83&lt;=2),1,10)</f>
        <v>10</v>
      </c>
      <c r="O29" s="76">
        <f>IF(AND(E83&gt;=7.1,H83&lt;=2),1,10)</f>
        <v>10</v>
      </c>
      <c r="P29" s="76">
        <f>IF(AND(F83&gt;=7.1,H83&lt;=2),1,10)</f>
        <v>10</v>
      </c>
      <c r="Q29" s="76">
        <f>IF(AND(H83&gt;=7.1,J83&lt;=2),1,10)</f>
        <v>10</v>
      </c>
      <c r="R29" s="76">
        <f>IF(AND(H83&gt;=7.1,G83&lt;=2),1,10)</f>
        <v>10</v>
      </c>
      <c r="S29" s="76">
        <f>IF(AND(I83&gt;=7.1,H83&lt;=2),1,10)</f>
        <v>10</v>
      </c>
      <c r="T29" s="76">
        <f>IF(AND(K83&gt;=7.1,H83&lt;=2),1,10)</f>
        <v>10</v>
      </c>
      <c r="U29" s="72" t="s">
        <v>46</v>
      </c>
      <c r="V29" s="78" t="s">
        <v>54</v>
      </c>
    </row>
    <row r="30" spans="2:23">
      <c r="B30" s="71" t="s">
        <v>36</v>
      </c>
      <c r="C30" s="93">
        <f>IF(AND(E83&lt;=2,D83&gt;=7.1),1,10)</f>
        <v>10</v>
      </c>
      <c r="D30" s="93">
        <f>IF(AND(E83&lt;=2,F83&gt;=7.1),1,10)</f>
        <v>10</v>
      </c>
      <c r="E30" s="93">
        <f>IF(AND(E83&lt;=2,I83&gt;=7.1),1,10)</f>
        <v>10</v>
      </c>
      <c r="F30" s="93">
        <f>IF(AND(E83&lt;=2,J83&gt;=7.1),1,10)</f>
        <v>10</v>
      </c>
      <c r="G30" s="93">
        <f>IF(AND(E83&lt;=2,G83&gt;=7.1),1,10)</f>
        <v>10</v>
      </c>
      <c r="H30" s="93">
        <f>IF(AND(E83&lt;=2,H83&gt;=7.1),1,10)</f>
        <v>10</v>
      </c>
      <c r="I30" s="93">
        <f>IF(AND(E83&lt;=2,K83&gt;=7.1),1,10)</f>
        <v>10</v>
      </c>
      <c r="J30" s="73" t="s">
        <v>47</v>
      </c>
      <c r="K30" s="77" t="s">
        <v>55</v>
      </c>
      <c r="L30" s="56"/>
      <c r="M30" s="71" t="s">
        <v>36</v>
      </c>
      <c r="N30" s="76">
        <f>IF(AND(D83&lt;=2,H83&gt;=7.1),1,10)</f>
        <v>10</v>
      </c>
      <c r="O30" s="76">
        <f>IF(AND(E83&lt;=2,H83&gt;=7.1),1,10)</f>
        <v>10</v>
      </c>
      <c r="P30" s="76">
        <f>IF(AND(F83&lt;=2,H83&gt;=7.1),1,10)</f>
        <v>10</v>
      </c>
      <c r="Q30" s="76">
        <f>IF(AND(H83&lt;=2,J83&gt;=7.1),1,10)</f>
        <v>10</v>
      </c>
      <c r="R30" s="76">
        <f>IF(AND(H83&lt;=2,G83&gt;=7.1),1,10)</f>
        <v>10</v>
      </c>
      <c r="S30" s="76">
        <f>IF(AND(I83&lt;=2,H83&gt;=7.1),1,10)</f>
        <v>10</v>
      </c>
      <c r="T30" s="76">
        <f>IF(AND(K83&lt;=2,H83&gt;=7.1),1,10)</f>
        <v>10</v>
      </c>
      <c r="U30" s="73" t="s">
        <v>47</v>
      </c>
      <c r="V30" s="77" t="s">
        <v>55</v>
      </c>
    </row>
    <row r="31" spans="2:23">
      <c r="B31" s="67"/>
      <c r="C31" s="56"/>
      <c r="D31" s="56"/>
      <c r="E31" s="56"/>
      <c r="F31" s="56"/>
      <c r="G31" s="56"/>
      <c r="H31" s="56"/>
      <c r="I31" s="56"/>
      <c r="J31" s="66"/>
      <c r="K31" s="56"/>
      <c r="L31" s="56"/>
      <c r="M31" s="56"/>
      <c r="N31" s="56"/>
      <c r="O31" s="56"/>
    </row>
    <row r="32" spans="2:23" ht="13.5" customHeight="1" thickBot="1">
      <c r="B32" s="94" t="s">
        <v>9</v>
      </c>
      <c r="E32" s="50"/>
      <c r="I32" s="50"/>
      <c r="K32" s="79"/>
      <c r="L32" s="56"/>
      <c r="M32" s="94" t="s">
        <v>49</v>
      </c>
      <c r="P32" s="50"/>
      <c r="T32" s="50"/>
      <c r="V32" s="79"/>
    </row>
    <row r="33" spans="2:22" ht="13.5" customHeight="1" thickBot="1">
      <c r="B33" s="95"/>
      <c r="C33" s="4" t="s">
        <v>15</v>
      </c>
      <c r="D33" s="5" t="s">
        <v>19</v>
      </c>
      <c r="E33" s="5" t="s">
        <v>44</v>
      </c>
      <c r="F33" s="5" t="s">
        <v>8</v>
      </c>
      <c r="G33" s="5" t="s">
        <v>10</v>
      </c>
      <c r="H33" s="5" t="s">
        <v>45</v>
      </c>
      <c r="I33" s="5" t="s">
        <v>58</v>
      </c>
      <c r="J33" s="102" t="s">
        <v>9</v>
      </c>
      <c r="K33" s="103"/>
      <c r="L33" s="56"/>
      <c r="M33" s="95"/>
      <c r="N33" s="4" t="s">
        <v>48</v>
      </c>
      <c r="O33" s="5" t="s">
        <v>50</v>
      </c>
      <c r="P33" s="5" t="s">
        <v>60</v>
      </c>
      <c r="Q33" s="5" t="s">
        <v>51</v>
      </c>
      <c r="R33" s="5" t="s">
        <v>56</v>
      </c>
      <c r="S33" s="5" t="s">
        <v>58</v>
      </c>
      <c r="T33" s="5" t="s">
        <v>59</v>
      </c>
      <c r="U33" s="102" t="s">
        <v>49</v>
      </c>
      <c r="V33" s="103"/>
    </row>
    <row r="34" spans="2:22" ht="12.75" customHeight="1">
      <c r="B34" s="6" t="s">
        <v>6</v>
      </c>
      <c r="C34" s="7">
        <f>[1]!GBPUSD</f>
        <v>1.5896699999999999</v>
      </c>
      <c r="D34" s="8">
        <f>[1]!EURGBP</f>
        <v>0.83243</v>
      </c>
      <c r="E34" s="8">
        <f>[1]!GBPAUD</f>
        <v>1.7434000000000001</v>
      </c>
      <c r="F34" s="8">
        <f>[1]!GBPJPY</f>
        <v>137.65299999999999</v>
      </c>
      <c r="G34" s="8">
        <f>[1]!GBPCHF</f>
        <v>1.65679</v>
      </c>
      <c r="H34" s="8">
        <f>[1]!GBPCAD</f>
        <v>1.6265000000000001</v>
      </c>
      <c r="I34" s="58">
        <f>[1]!GBPNZD</f>
        <v>2.1692999999999998</v>
      </c>
      <c r="J34" s="104"/>
      <c r="K34" s="105"/>
      <c r="L34" s="56"/>
      <c r="M34" s="6" t="s">
        <v>6</v>
      </c>
      <c r="N34" s="7">
        <f>[1]!NZDUSD</f>
        <v>0.73385</v>
      </c>
      <c r="O34" s="8">
        <f>[1]!NZDCHF</f>
        <v>0.76849999999999996</v>
      </c>
      <c r="P34" s="8">
        <f>[1]!NZDCAD</f>
        <v>0.75029999999999997</v>
      </c>
      <c r="Q34" s="8">
        <f>[1]!NZDJPY</f>
        <v>63.71</v>
      </c>
      <c r="R34" s="8">
        <f>[1]!EURNZD</f>
        <v>1.7990999999999999</v>
      </c>
      <c r="S34" s="8">
        <f>[1]!GBPNZD</f>
        <v>2.1692999999999998</v>
      </c>
      <c r="T34" s="58">
        <f>[1]!AUDNZD</f>
        <v>1.2482</v>
      </c>
      <c r="U34" s="104"/>
      <c r="V34" s="105"/>
    </row>
    <row r="35" spans="2:22" ht="12.75" customHeight="1">
      <c r="B35" s="9" t="s">
        <v>5</v>
      </c>
      <c r="C35" s="10">
        <f>[2]!GBPUSD</f>
        <v>1.58969</v>
      </c>
      <c r="D35" s="11">
        <f>[2]!EURGBP</f>
        <v>0.82972000000000001</v>
      </c>
      <c r="E35" s="11">
        <f>[2]!GBPAUD</f>
        <v>1.7404999999999999</v>
      </c>
      <c r="F35" s="11">
        <f>[2]!GBPJPY</f>
        <v>137.43199999999999</v>
      </c>
      <c r="G35" s="11">
        <f>[2]!GBPCHF</f>
        <v>1.64812</v>
      </c>
      <c r="H35" s="11">
        <f>[2]!GBPCAD</f>
        <v>1.6249</v>
      </c>
      <c r="I35" s="59">
        <f>[2]!GBPNZD</f>
        <v>2.1678999999999999</v>
      </c>
      <c r="J35" s="104"/>
      <c r="K35" s="105"/>
      <c r="L35" s="56"/>
      <c r="M35" s="9" t="s">
        <v>5</v>
      </c>
      <c r="N35" s="10">
        <f>[2]!NZDUSD</f>
        <v>0.73372999999999999</v>
      </c>
      <c r="O35" s="11">
        <f>[2]!NZDCHF</f>
        <v>0.76070000000000004</v>
      </c>
      <c r="P35" s="11">
        <f>[2]!NZDCAD</f>
        <v>0.75009999999999999</v>
      </c>
      <c r="Q35" s="11">
        <f>[2]!NZDJPY</f>
        <v>63.42</v>
      </c>
      <c r="R35" s="11">
        <f>[2]!EURNZD</f>
        <v>1.7985</v>
      </c>
      <c r="S35" s="11">
        <f>[2]!GBPNZD</f>
        <v>2.1678999999999999</v>
      </c>
      <c r="T35" s="59">
        <f>[2]!AUDNZD</f>
        <v>1.2458</v>
      </c>
      <c r="U35" s="104"/>
      <c r="V35" s="105"/>
    </row>
    <row r="36" spans="2:22" ht="12.75" customHeight="1">
      <c r="B36" s="9" t="s">
        <v>4</v>
      </c>
      <c r="C36" s="10">
        <f>[3]!GBPUSD</f>
        <v>1.58948</v>
      </c>
      <c r="D36" s="11">
        <f>[3]!EURGBP</f>
        <v>0.82962000000000002</v>
      </c>
      <c r="E36" s="11">
        <f>[3]!GBPAUD</f>
        <v>1.7398</v>
      </c>
      <c r="F36" s="11">
        <f>[3]!GBPJPY</f>
        <v>137.37100000000001</v>
      </c>
      <c r="G36" s="11">
        <f>[3]!GBPCHF</f>
        <v>1.6475</v>
      </c>
      <c r="H36" s="11">
        <f>[3]!GBPCAD</f>
        <v>1.6243000000000001</v>
      </c>
      <c r="I36" s="59">
        <f>[3]!GBPNZD</f>
        <v>2.1661000000000001</v>
      </c>
      <c r="J36" s="104"/>
      <c r="K36" s="105"/>
      <c r="L36" s="56"/>
      <c r="M36" s="9" t="s">
        <v>4</v>
      </c>
      <c r="N36" s="10">
        <f>[3]!NZDUSD</f>
        <v>0.73343000000000003</v>
      </c>
      <c r="O36" s="11">
        <f>[3]!NZDCHF</f>
        <v>0.75990000000000002</v>
      </c>
      <c r="P36" s="11">
        <f>[3]!NZDCAD</f>
        <v>0.74929999999999997</v>
      </c>
      <c r="Q36" s="11">
        <f>[3]!NZDJPY</f>
        <v>63.39</v>
      </c>
      <c r="R36" s="11">
        <f>[3]!EURNZD</f>
        <v>1.7969999999999999</v>
      </c>
      <c r="S36" s="11">
        <f>[3]!GBPNZD</f>
        <v>2.1661000000000001</v>
      </c>
      <c r="T36" s="59">
        <f>[3]!AUDNZD</f>
        <v>1.2447999999999999</v>
      </c>
      <c r="U36" s="104"/>
      <c r="V36" s="105"/>
    </row>
    <row r="37" spans="2:22" ht="13.5" customHeight="1" thickBot="1">
      <c r="B37" s="12" t="s">
        <v>7</v>
      </c>
      <c r="C37" s="13">
        <f>[4]!GBPUSD</f>
        <v>1.5694900000000001</v>
      </c>
      <c r="D37" s="14">
        <f>[4]!EURGBP</f>
        <v>0.82535999999999998</v>
      </c>
      <c r="E37" s="14">
        <f>[4]!GBPAUD</f>
        <v>1.7254</v>
      </c>
      <c r="F37" s="14">
        <f>[4]!GBPJPY</f>
        <v>135.495</v>
      </c>
      <c r="G37" s="14">
        <f>[4]!GBPCHF</f>
        <v>1.6325499999999999</v>
      </c>
      <c r="H37" s="14">
        <f>[4]!GBPCAD</f>
        <v>1.6123000000000001</v>
      </c>
      <c r="I37" s="60">
        <f>[4]!GBPNZD</f>
        <v>2.1513</v>
      </c>
      <c r="J37" s="104"/>
      <c r="K37" s="105"/>
      <c r="L37" s="56"/>
      <c r="M37" s="12" t="s">
        <v>7</v>
      </c>
      <c r="N37" s="13">
        <f>[4]!NZDUSD</f>
        <v>0.72570000000000001</v>
      </c>
      <c r="O37" s="14">
        <f>[4]!NZDCHF</f>
        <v>0.75480000000000003</v>
      </c>
      <c r="P37" s="14">
        <f>[4]!NZDCAD</f>
        <v>0.74619999999999997</v>
      </c>
      <c r="Q37" s="14">
        <f>[4]!NZDJPY</f>
        <v>62.65</v>
      </c>
      <c r="R37" s="14">
        <f>[4]!EURNZD</f>
        <v>1.7798</v>
      </c>
      <c r="S37" s="14">
        <f>[4]!GBPNZD</f>
        <v>2.1513</v>
      </c>
      <c r="T37" s="60">
        <f>[4]!AUDNZD</f>
        <v>1.2423</v>
      </c>
      <c r="U37" s="104"/>
      <c r="V37" s="105"/>
    </row>
    <row r="38" spans="2:22" ht="12.75" customHeight="1">
      <c r="B38" s="6" t="s">
        <v>21</v>
      </c>
      <c r="C38" s="15">
        <f>(C34:I34-C37:I37)*10000</f>
        <v>201.79999999999865</v>
      </c>
      <c r="D38" s="16">
        <f>(C34:I34-C37:I37)*10000</f>
        <v>70.700000000000202</v>
      </c>
      <c r="E38" s="16">
        <f>(C34:I34-C37:I37)*10000</f>
        <v>180.00000000000017</v>
      </c>
      <c r="F38" s="16">
        <f>(C34:I34-C37:I37)*100</f>
        <v>215.7999999999987</v>
      </c>
      <c r="G38" s="16">
        <f>(C34:I34-C37:I37)*10000</f>
        <v>242.4000000000004</v>
      </c>
      <c r="H38" s="16">
        <f>(C34:I34-C37:I37)*10000</f>
        <v>141.99999999999991</v>
      </c>
      <c r="I38" s="61">
        <f>(C34:I34-C37:I37)*10000</f>
        <v>179.99999999999795</v>
      </c>
      <c r="J38" s="104"/>
      <c r="K38" s="105"/>
      <c r="L38" s="56"/>
      <c r="M38" s="6" t="s">
        <v>21</v>
      </c>
      <c r="N38" s="15">
        <f>(N34:T34-N37:T37)*10000</f>
        <v>81.499999999999901</v>
      </c>
      <c r="O38" s="16">
        <f>(N34:T34-N37:T37)*10000</f>
        <v>136.99999999999935</v>
      </c>
      <c r="P38" s="16">
        <f>(N34:T34-N37:T37)*10000</f>
        <v>40.999999999999929</v>
      </c>
      <c r="Q38" s="16">
        <f>(N34:T34-N37:T37)*100</f>
        <v>106.00000000000023</v>
      </c>
      <c r="R38" s="16">
        <f>(N34:T34-N37:T37)*10000</f>
        <v>192.99999999999872</v>
      </c>
      <c r="S38" s="16">
        <f>(N34:T34-N37:T37)*10000</f>
        <v>179.99999999999795</v>
      </c>
      <c r="T38" s="61">
        <f>(N34:T34-N37:T37)*10000</f>
        <v>59.000000000000163</v>
      </c>
      <c r="U38" s="104"/>
      <c r="V38" s="105"/>
    </row>
    <row r="39" spans="2:22" ht="13.5" customHeight="1" thickBot="1">
      <c r="B39" s="12" t="s">
        <v>22</v>
      </c>
      <c r="C39" s="17">
        <f>(C36:I36-C37:I37)/C38:I38*10000</f>
        <v>0.99058473736373076</v>
      </c>
      <c r="D39" s="18">
        <f>(C36:I36-C37:I37)/C38:I38*10000</f>
        <v>0.6025459688826067</v>
      </c>
      <c r="E39" s="18">
        <f>(C36:I36-C37:I37)/C38:I38*10000</f>
        <v>0.79999999999999749</v>
      </c>
      <c r="F39" s="18">
        <f>(C36:I36-C37:I37)/C38:I38*100</f>
        <v>0.8693234476367081</v>
      </c>
      <c r="G39" s="18">
        <f>(C36:I36-C37:I37)/C38:I38*10000</f>
        <v>0.61674917491749148</v>
      </c>
      <c r="H39" s="18">
        <f>(C36:I36-C37:I37)/C38:I38*10000</f>
        <v>0.84507042253521247</v>
      </c>
      <c r="I39" s="62">
        <f>(C36:I36-C37:I37)/C38:I38*10000</f>
        <v>0.82222222222223962</v>
      </c>
      <c r="J39" s="104"/>
      <c r="K39" s="105"/>
      <c r="L39" s="56"/>
      <c r="M39" s="12" t="s">
        <v>22</v>
      </c>
      <c r="N39" s="17">
        <f>(N36:T36-N37:T37)/N38:T38*10000</f>
        <v>0.94846625766871462</v>
      </c>
      <c r="O39" s="18">
        <f>(N36:T36-N37:T37)/N38:T38*10000</f>
        <v>0.37226277372262906</v>
      </c>
      <c r="P39" s="18">
        <f>(N36:T36-N37:T37)/N38:T38*10000</f>
        <v>0.7560975609756091</v>
      </c>
      <c r="Q39" s="18">
        <f>(N36:T36-N37:T37)/N38:T38*100</f>
        <v>0.69811320754717021</v>
      </c>
      <c r="R39" s="18">
        <f>(N36:T36-N37:T37)/N38:T38*10000</f>
        <v>0.89119170984455931</v>
      </c>
      <c r="S39" s="18">
        <f>(N36:T36-N37:T37)/N38:T38*10000</f>
        <v>0.82222222222223962</v>
      </c>
      <c r="T39" s="62">
        <f>(N36:T36-N37:T37)/N38:T38*10000</f>
        <v>0.42372881355931186</v>
      </c>
      <c r="U39" s="104"/>
      <c r="V39" s="105"/>
    </row>
    <row r="40" spans="2:22" ht="12.75" customHeight="1">
      <c r="B40" s="19" t="s">
        <v>23</v>
      </c>
      <c r="C40" s="20" t="s">
        <v>9</v>
      </c>
      <c r="D40" s="21" t="s">
        <v>24</v>
      </c>
      <c r="E40" s="21" t="s">
        <v>9</v>
      </c>
      <c r="F40" s="21" t="s">
        <v>9</v>
      </c>
      <c r="G40" s="21" t="s">
        <v>9</v>
      </c>
      <c r="H40" s="21" t="s">
        <v>9</v>
      </c>
      <c r="I40" s="21" t="s">
        <v>9</v>
      </c>
      <c r="J40" s="104"/>
      <c r="K40" s="105"/>
      <c r="L40" s="56"/>
      <c r="M40" s="19" t="s">
        <v>23</v>
      </c>
      <c r="N40" s="20" t="s">
        <v>49</v>
      </c>
      <c r="O40" s="21" t="s">
        <v>49</v>
      </c>
      <c r="P40" s="21" t="s">
        <v>49</v>
      </c>
      <c r="Q40" s="21" t="s">
        <v>61</v>
      </c>
      <c r="R40" s="21" t="s">
        <v>24</v>
      </c>
      <c r="S40" s="21" t="s">
        <v>9</v>
      </c>
      <c r="T40" s="21" t="s">
        <v>25</v>
      </c>
      <c r="U40" s="104"/>
      <c r="V40" s="105"/>
    </row>
    <row r="41" spans="2:22" ht="12.75" customHeight="1">
      <c r="B41" s="22" t="s">
        <v>27</v>
      </c>
      <c r="C41" s="23">
        <f>LOOKUP(100*C39,$Y5:$Y14,$Z5:$Z14)</f>
        <v>9</v>
      </c>
      <c r="D41" s="24">
        <f t="shared" ref="D41:I41" si="8">LOOKUP(100*D39,$Y5:$Y14,$Z5:$Z14)</f>
        <v>6</v>
      </c>
      <c r="E41" s="24">
        <f t="shared" si="8"/>
        <v>7</v>
      </c>
      <c r="F41" s="24">
        <f t="shared" si="8"/>
        <v>7</v>
      </c>
      <c r="G41" s="24">
        <f t="shared" si="8"/>
        <v>6</v>
      </c>
      <c r="H41" s="24">
        <f t="shared" si="8"/>
        <v>7</v>
      </c>
      <c r="I41" s="64">
        <f t="shared" si="8"/>
        <v>7</v>
      </c>
      <c r="J41" s="104"/>
      <c r="K41" s="105"/>
      <c r="L41" s="56"/>
      <c r="M41" s="22" t="s">
        <v>27</v>
      </c>
      <c r="N41" s="23">
        <f>LOOKUP(100*N39,$Y5:$Y14,$Z5:$Z14)</f>
        <v>8</v>
      </c>
      <c r="O41" s="24">
        <f t="shared" ref="O41:T41" si="9">LOOKUP(100*O39,$Y5:$Y14,$Z5:$Z14)</f>
        <v>3</v>
      </c>
      <c r="P41" s="24">
        <f t="shared" si="9"/>
        <v>7</v>
      </c>
      <c r="Q41" s="24">
        <f t="shared" si="9"/>
        <v>6</v>
      </c>
      <c r="R41" s="24">
        <f t="shared" si="9"/>
        <v>7</v>
      </c>
      <c r="S41" s="24">
        <f t="shared" si="9"/>
        <v>7</v>
      </c>
      <c r="T41" s="64">
        <f t="shared" si="9"/>
        <v>4</v>
      </c>
      <c r="U41" s="104"/>
      <c r="V41" s="105"/>
    </row>
    <row r="42" spans="2:22" ht="12.75" customHeight="1">
      <c r="B42" s="25"/>
      <c r="C42" s="26" t="s">
        <v>26</v>
      </c>
      <c r="D42" s="27" t="s">
        <v>9</v>
      </c>
      <c r="E42" s="27" t="s">
        <v>25</v>
      </c>
      <c r="F42" s="27" t="s">
        <v>28</v>
      </c>
      <c r="G42" s="27" t="s">
        <v>12</v>
      </c>
      <c r="H42" s="27" t="s">
        <v>29</v>
      </c>
      <c r="I42" s="65" t="s">
        <v>49</v>
      </c>
      <c r="J42" s="104"/>
      <c r="K42" s="105"/>
      <c r="L42" s="56"/>
      <c r="M42" s="25"/>
      <c r="N42" s="26" t="s">
        <v>26</v>
      </c>
      <c r="O42" s="27" t="s">
        <v>12</v>
      </c>
      <c r="P42" s="27" t="s">
        <v>29</v>
      </c>
      <c r="Q42" s="27" t="s">
        <v>28</v>
      </c>
      <c r="R42" s="27" t="s">
        <v>49</v>
      </c>
      <c r="S42" s="27" t="s">
        <v>49</v>
      </c>
      <c r="T42" s="65" t="s">
        <v>49</v>
      </c>
      <c r="U42" s="104"/>
      <c r="V42" s="105"/>
    </row>
    <row r="43" spans="2:22" ht="13.5" customHeight="1" thickBot="1">
      <c r="B43" s="28"/>
      <c r="C43" s="74">
        <f t="shared" ref="C43:I43" si="10">9-C41</f>
        <v>0</v>
      </c>
      <c r="D43" s="57">
        <f t="shared" si="10"/>
        <v>3</v>
      </c>
      <c r="E43" s="57">
        <f t="shared" si="10"/>
        <v>2</v>
      </c>
      <c r="F43" s="57">
        <f t="shared" si="10"/>
        <v>2</v>
      </c>
      <c r="G43" s="57">
        <f t="shared" si="10"/>
        <v>3</v>
      </c>
      <c r="H43" s="57">
        <f t="shared" si="10"/>
        <v>2</v>
      </c>
      <c r="I43" s="75">
        <f t="shared" si="10"/>
        <v>2</v>
      </c>
      <c r="J43" s="106"/>
      <c r="K43" s="107"/>
      <c r="L43" s="56"/>
      <c r="M43" s="28"/>
      <c r="N43" s="74">
        <f t="shared" ref="N43:T43" si="11">9-N41</f>
        <v>1</v>
      </c>
      <c r="O43" s="57">
        <f t="shared" si="11"/>
        <v>6</v>
      </c>
      <c r="P43" s="57">
        <f t="shared" si="11"/>
        <v>2</v>
      </c>
      <c r="Q43" s="57">
        <f t="shared" si="11"/>
        <v>3</v>
      </c>
      <c r="R43" s="57">
        <f t="shared" si="11"/>
        <v>2</v>
      </c>
      <c r="S43" s="57">
        <f t="shared" si="11"/>
        <v>2</v>
      </c>
      <c r="T43" s="75">
        <f t="shared" si="11"/>
        <v>5</v>
      </c>
      <c r="U43" s="106"/>
      <c r="V43" s="107"/>
    </row>
    <row r="44" spans="2:22" ht="14.25">
      <c r="B44" s="70" t="s">
        <v>35</v>
      </c>
      <c r="C44" s="93">
        <f>IF(AND(F83&gt;=7.1,D83&lt;=2),1,10)</f>
        <v>10</v>
      </c>
      <c r="D44" s="93">
        <f>IF(AND(E83&gt;=7.1,F83&lt;=2),1,10)</f>
        <v>10</v>
      </c>
      <c r="E44" s="93">
        <f>IF(AND(F83&gt;=7.1,I83&lt;=2),1,10)</f>
        <v>10</v>
      </c>
      <c r="F44" s="93">
        <f>IF(AND(F83&gt;=7.1,J83&lt;=2),1,10)</f>
        <v>10</v>
      </c>
      <c r="G44" s="93">
        <f>IF(AND(F83&gt;=7.1,G83&lt;=2),1,10)</f>
        <v>10</v>
      </c>
      <c r="H44" s="93">
        <f>IF(AND(F83&gt;=7.1,H83&lt;=2),1,10)</f>
        <v>10</v>
      </c>
      <c r="I44" s="93">
        <f>IF(AND(F83&gt;=7.1,K83&lt;=2),1,10)</f>
        <v>10</v>
      </c>
      <c r="J44" s="72" t="s">
        <v>46</v>
      </c>
      <c r="K44" s="78" t="s">
        <v>54</v>
      </c>
      <c r="L44" s="56"/>
      <c r="M44" s="70" t="s">
        <v>35</v>
      </c>
      <c r="N44" s="76">
        <f>IF(AND(K83&gt;=7.1,D83&lt;=2),1,10)</f>
        <v>10</v>
      </c>
      <c r="O44" s="76">
        <f>IF(AND(K83&gt;=7.1,G83&lt;=2),1,10)</f>
        <v>10</v>
      </c>
      <c r="P44" s="76">
        <f>IF(AND(K83&gt;=7.1,H83&lt;=2),1,10)</f>
        <v>10</v>
      </c>
      <c r="Q44" s="76">
        <f>IF(AND(K83&gt;=7.1,J83&lt;=2),1,10)</f>
        <v>10</v>
      </c>
      <c r="R44" s="76">
        <f>IF(AND(E83&gt;=7.1,K83&lt;=2),1,10)</f>
        <v>10</v>
      </c>
      <c r="S44" s="76">
        <f>IF(AND(F83&gt;=7.1,K83&lt;=2),1,10)</f>
        <v>10</v>
      </c>
      <c r="T44" s="76">
        <f>IF(AND(I83&gt;=7.1,K83&lt;=2),1,10)</f>
        <v>10</v>
      </c>
      <c r="U44" s="72" t="s">
        <v>46</v>
      </c>
      <c r="V44" s="78" t="s">
        <v>54</v>
      </c>
    </row>
    <row r="45" spans="2:22">
      <c r="B45" s="71" t="s">
        <v>36</v>
      </c>
      <c r="C45" s="93">
        <f>IF(AND(F83&lt;=2,D83&gt;=7.1),1,10)</f>
        <v>10</v>
      </c>
      <c r="D45" s="93">
        <f>IF(AND(E83&lt;=2,F83&gt;=7.1),1,10)</f>
        <v>10</v>
      </c>
      <c r="E45" s="93">
        <f>IF(AND(F83&lt;=2,I83&gt;=7.1),1,10)</f>
        <v>10</v>
      </c>
      <c r="F45" s="93">
        <f>IF(AND(F83&lt;=2,J83&gt;=7.1),1,10)</f>
        <v>10</v>
      </c>
      <c r="G45" s="93">
        <f>IF(AND(F83&lt;=2,G83&gt;=7.1),1,10)</f>
        <v>10</v>
      </c>
      <c r="H45" s="93">
        <f>IF(AND(F83&lt;=2,H83&gt;=7.1),1,10)</f>
        <v>10</v>
      </c>
      <c r="I45" s="93">
        <f>IF(AND(F83&lt;=2,K83&gt;=7.1),1,10)</f>
        <v>10</v>
      </c>
      <c r="J45" s="73" t="s">
        <v>47</v>
      </c>
      <c r="K45" s="77" t="s">
        <v>55</v>
      </c>
      <c r="L45" s="56"/>
      <c r="M45" s="71" t="s">
        <v>36</v>
      </c>
      <c r="N45" s="76">
        <f>IF(AND(K83&lt;=2,D83&gt;=7.1),1,10)</f>
        <v>10</v>
      </c>
      <c r="O45" s="76">
        <f>IF(AND(K83&lt;=2,G83&gt;=7.1),1,10)</f>
        <v>10</v>
      </c>
      <c r="P45" s="76">
        <f>IF(AND(Q83&lt;=2,T83&gt;=7.1),1,10)</f>
        <v>10</v>
      </c>
      <c r="Q45" s="76">
        <f>IF(AND(K83&lt;=2,J83&gt;=7.1),1,10)</f>
        <v>10</v>
      </c>
      <c r="R45" s="76">
        <f>IF(AND(E83&lt;=2,K83&gt;=7.1),1,10)</f>
        <v>10</v>
      </c>
      <c r="S45" s="76">
        <f>IF(AND(Q83&lt;=2,S83&gt;=7.1),1,10)</f>
        <v>10</v>
      </c>
      <c r="T45" s="76">
        <f>IF(AND(I83&lt;=2,K83&gt;=7.1),1,10)</f>
        <v>10</v>
      </c>
      <c r="U45" s="73" t="s">
        <v>47</v>
      </c>
      <c r="V45" s="77" t="s">
        <v>55</v>
      </c>
    </row>
    <row r="46" spans="2:22">
      <c r="B46" s="67"/>
      <c r="C46" s="56"/>
      <c r="D46" s="56"/>
      <c r="E46" s="56"/>
      <c r="F46" s="56"/>
      <c r="G46" s="56"/>
      <c r="H46" s="56"/>
      <c r="I46" s="56"/>
      <c r="J46" s="66"/>
      <c r="K46" s="56"/>
      <c r="L46" s="56"/>
      <c r="M46" s="56"/>
      <c r="N46" s="56"/>
      <c r="O46" s="56"/>
    </row>
    <row r="47" spans="2:22" ht="13.5" customHeight="1" thickBot="1">
      <c r="B47" s="94" t="s">
        <v>12</v>
      </c>
      <c r="E47" s="50"/>
      <c r="I47" s="50"/>
      <c r="K47" s="79"/>
      <c r="L47" s="56"/>
      <c r="M47" s="94" t="s">
        <v>63</v>
      </c>
      <c r="P47" s="50"/>
      <c r="T47" s="50"/>
      <c r="V47" s="79"/>
    </row>
    <row r="48" spans="2:22" ht="13.5" customHeight="1" thickBot="1">
      <c r="B48" s="95"/>
      <c r="C48" s="4" t="s">
        <v>11</v>
      </c>
      <c r="D48" s="5" t="s">
        <v>13</v>
      </c>
      <c r="E48" s="5" t="s">
        <v>39</v>
      </c>
      <c r="F48" s="5" t="s">
        <v>42</v>
      </c>
      <c r="G48" s="5" t="s">
        <v>10</v>
      </c>
      <c r="H48" s="5" t="s">
        <v>40</v>
      </c>
      <c r="I48" s="5" t="s">
        <v>50</v>
      </c>
      <c r="J48" s="102" t="s">
        <v>12</v>
      </c>
      <c r="K48" s="103"/>
      <c r="L48" s="56"/>
      <c r="M48" s="95"/>
      <c r="N48" s="4" t="s">
        <v>52</v>
      </c>
      <c r="O48" s="5" t="s">
        <v>53</v>
      </c>
      <c r="P48" s="5" t="s">
        <v>64</v>
      </c>
      <c r="Q48" s="5" t="s">
        <v>65</v>
      </c>
      <c r="R48" s="5" t="s">
        <v>66</v>
      </c>
      <c r="S48" s="5" t="s">
        <v>67</v>
      </c>
      <c r="T48" s="5" t="s">
        <v>68</v>
      </c>
      <c r="U48" s="96" t="s">
        <v>62</v>
      </c>
      <c r="V48" s="97"/>
    </row>
    <row r="49" spans="2:22" ht="12.75" customHeight="1">
      <c r="B49" s="6" t="s">
        <v>6</v>
      </c>
      <c r="C49" s="7">
        <f>[1]!USDCHF</f>
        <v>1.04756</v>
      </c>
      <c r="D49" s="8">
        <f>[1]!EURCHF</f>
        <v>1.3697600000000001</v>
      </c>
      <c r="E49" s="8">
        <f>[1]!AUDCHF</f>
        <v>0.95640000000000003</v>
      </c>
      <c r="F49" s="8">
        <f>[1]!CHFJPY</f>
        <v>83.42</v>
      </c>
      <c r="G49" s="8">
        <f>[1]!GBPCHF</f>
        <v>1.65679</v>
      </c>
      <c r="H49" s="8">
        <f>[1]!CADCHF</f>
        <v>1.0239</v>
      </c>
      <c r="I49" s="58">
        <f>[1]!NZDCHF</f>
        <v>0.76849999999999996</v>
      </c>
      <c r="J49" s="104"/>
      <c r="K49" s="105"/>
      <c r="L49" s="56"/>
      <c r="M49" s="6" t="s">
        <v>6</v>
      </c>
      <c r="N49" s="7">
        <f>[1]!GOLD</f>
        <v>1190.3</v>
      </c>
      <c r="O49" s="8">
        <f>[1]!SILVER</f>
        <v>18.55</v>
      </c>
      <c r="P49" s="8">
        <f>[1]!'#CLU0'</f>
        <v>81.53</v>
      </c>
      <c r="Q49" s="85">
        <f>[1]!'#YMU0'</f>
        <v>10605</v>
      </c>
      <c r="R49" s="85">
        <f>[1]!'#EPU0'</f>
        <v>1119.25</v>
      </c>
      <c r="S49" s="85">
        <f>[1]!'#NKDU0'</f>
        <v>9705</v>
      </c>
      <c r="T49" s="88">
        <f>[1]!'#FDXU0'</f>
        <v>6308.5</v>
      </c>
      <c r="U49" s="98"/>
      <c r="V49" s="99"/>
    </row>
    <row r="50" spans="2:22" ht="12.75" customHeight="1">
      <c r="B50" s="9" t="s">
        <v>5</v>
      </c>
      <c r="C50" s="10">
        <f>[2]!USDCHF</f>
        <v>1.0366899999999999</v>
      </c>
      <c r="D50" s="11">
        <f>[2]!EURCHF</f>
        <v>1.3673200000000001</v>
      </c>
      <c r="E50" s="11">
        <f>[2]!AUDCHF</f>
        <v>0.94730000000000003</v>
      </c>
      <c r="F50" s="11">
        <f>[2]!CHFJPY</f>
        <v>83.4</v>
      </c>
      <c r="G50" s="11">
        <f>[2]!GBPCHF</f>
        <v>1.64812</v>
      </c>
      <c r="H50" s="11">
        <f>[2]!CADCHF</f>
        <v>1.0147999999999999</v>
      </c>
      <c r="I50" s="59">
        <f>[2]!NZDCHF</f>
        <v>0.76070000000000004</v>
      </c>
      <c r="J50" s="104"/>
      <c r="K50" s="105"/>
      <c r="L50" s="56"/>
      <c r="M50" s="9" t="s">
        <v>5</v>
      </c>
      <c r="N50" s="10">
        <f>[2]!GOLD</f>
        <v>1186.2</v>
      </c>
      <c r="O50" s="11">
        <f>[2]!SILVER</f>
        <v>18.47</v>
      </c>
      <c r="P50" s="11">
        <f>[2]!'#CLU0'</f>
        <v>81.31</v>
      </c>
      <c r="Q50" s="86">
        <f>[2]!'#YMU0'</f>
        <v>10592</v>
      </c>
      <c r="R50" s="86">
        <f>[2]!'#EPU0'</f>
        <v>1118.75</v>
      </c>
      <c r="S50" s="86">
        <f>[2]!'#NKDU0'</f>
        <v>9700</v>
      </c>
      <c r="T50" s="89">
        <f>[2]!'#FDXU0'</f>
        <v>6280</v>
      </c>
      <c r="U50" s="98"/>
      <c r="V50" s="99"/>
    </row>
    <row r="51" spans="2:22" ht="12.75" customHeight="1">
      <c r="B51" s="9" t="s">
        <v>4</v>
      </c>
      <c r="C51" s="10">
        <f>[3]!USDCHF</f>
        <v>1.0365200000000001</v>
      </c>
      <c r="D51" s="11">
        <f>[3]!EURCHF</f>
        <v>1.36703</v>
      </c>
      <c r="E51" s="11">
        <f>[3]!AUDCHF</f>
        <v>0.94669999999999999</v>
      </c>
      <c r="F51" s="11">
        <f>[3]!CHFJPY</f>
        <v>83.37</v>
      </c>
      <c r="G51" s="11">
        <f>[3]!GBPCHF</f>
        <v>1.6475</v>
      </c>
      <c r="H51" s="11">
        <f>[3]!CADCHF</f>
        <v>1.0142</v>
      </c>
      <c r="I51" s="59">
        <f>[3]!NZDCHF</f>
        <v>0.75990000000000002</v>
      </c>
      <c r="J51" s="104"/>
      <c r="K51" s="105"/>
      <c r="L51" s="56"/>
      <c r="M51" s="9" t="s">
        <v>4</v>
      </c>
      <c r="N51" s="10">
        <f>[3]!GOLD</f>
        <v>1185.55</v>
      </c>
      <c r="O51" s="11">
        <f>[3]!SILVER</f>
        <v>18.43</v>
      </c>
      <c r="P51" s="11">
        <f>[3]!'#CLU0'</f>
        <v>81.28</v>
      </c>
      <c r="Q51" s="86">
        <f>[3]!'#YMU0'</f>
        <v>10589</v>
      </c>
      <c r="R51" s="86">
        <f>[3]!'#EPU0'</f>
        <v>1118.25</v>
      </c>
      <c r="S51" s="86">
        <f>[3]!'#NKDU0'</f>
        <v>9690</v>
      </c>
      <c r="T51" s="89">
        <f>[3]!'#FDXU0'</f>
        <v>6279</v>
      </c>
      <c r="U51" s="98"/>
      <c r="V51" s="99"/>
    </row>
    <row r="52" spans="2:22" ht="12.75" customHeight="1" thickBot="1">
      <c r="B52" s="12" t="s">
        <v>7</v>
      </c>
      <c r="C52" s="13">
        <f>[4]!USDCHF</f>
        <v>1.0364800000000001</v>
      </c>
      <c r="D52" s="14">
        <f>[4]!EURCHF</f>
        <v>1.3579699999999999</v>
      </c>
      <c r="E52" s="14">
        <f>[4]!AUDCHF</f>
        <v>0.94059999999999999</v>
      </c>
      <c r="F52" s="14">
        <f>[4]!CHFJPY</f>
        <v>82.79</v>
      </c>
      <c r="G52" s="14">
        <f>[4]!GBPCHF</f>
        <v>1.6325499999999999</v>
      </c>
      <c r="H52" s="14">
        <f>[4]!CADCHF</f>
        <v>1.0095000000000001</v>
      </c>
      <c r="I52" s="60">
        <f>[4]!NZDCHF</f>
        <v>0.75480000000000003</v>
      </c>
      <c r="J52" s="104"/>
      <c r="K52" s="105"/>
      <c r="L52" s="56"/>
      <c r="M52" s="12" t="s">
        <v>7</v>
      </c>
      <c r="N52" s="13">
        <f>[4]!GOLD</f>
        <v>1174.3499999999999</v>
      </c>
      <c r="O52" s="14">
        <f>[4]!SILVER</f>
        <v>17.96</v>
      </c>
      <c r="P52" s="14">
        <f>[4]!'#CLU0'</f>
        <v>79.13</v>
      </c>
      <c r="Q52" s="87">
        <f>[4]!'#YMU0'</f>
        <v>10474</v>
      </c>
      <c r="R52" s="87">
        <f>[4]!'#EPU0'</f>
        <v>1104.5</v>
      </c>
      <c r="S52" s="87">
        <f>[4]!'#NKDU0'</f>
        <v>9605</v>
      </c>
      <c r="T52" s="90">
        <f>[4]!'#FDXU0'</f>
        <v>6186</v>
      </c>
      <c r="U52" s="98"/>
      <c r="V52" s="99"/>
    </row>
    <row r="53" spans="2:22" ht="12.75" customHeight="1">
      <c r="B53" s="6" t="s">
        <v>21</v>
      </c>
      <c r="C53" s="15">
        <f>(C49:I49-C52:I52)*10000</f>
        <v>110.79999999999978</v>
      </c>
      <c r="D53" s="16">
        <f>(C49:I49-C52:I52)*10000</f>
        <v>117.9000000000019</v>
      </c>
      <c r="E53" s="16">
        <f>(C49:I49-C52:I52)*10000</f>
        <v>158.00000000000037</v>
      </c>
      <c r="F53" s="16">
        <f>(C49:I49-C52:I52)*100</f>
        <v>62.999999999999545</v>
      </c>
      <c r="G53" s="16">
        <f>(C49:I49-C52:I52)*10000</f>
        <v>242.4000000000004</v>
      </c>
      <c r="H53" s="16">
        <f>(C49:I49-C52:I52)*10000</f>
        <v>143.99999999999969</v>
      </c>
      <c r="I53" s="61">
        <f>(C49:I49-C52:I52)*10000</f>
        <v>136.99999999999935</v>
      </c>
      <c r="J53" s="104"/>
      <c r="K53" s="105"/>
      <c r="L53" s="56"/>
      <c r="M53" s="6" t="s">
        <v>21</v>
      </c>
      <c r="N53" s="15">
        <f>(N49:T49-N52:T52)*100</f>
        <v>1595.0000000000045</v>
      </c>
      <c r="O53" s="16">
        <f>(N49:T49-N52:T52)*100</f>
        <v>58.999999999999986</v>
      </c>
      <c r="P53" s="16">
        <f>(N49:T49-N52:T52)*100</f>
        <v>240.00000000000057</v>
      </c>
      <c r="Q53" s="16">
        <f>(N49:T49-N52:T52)*100</f>
        <v>13100</v>
      </c>
      <c r="R53" s="16">
        <f>(N49:T49-N52:T52)*100</f>
        <v>1475</v>
      </c>
      <c r="S53" s="16">
        <f>(N49:T49-N52:T52)*100</f>
        <v>10000</v>
      </c>
      <c r="T53" s="61">
        <f>(N49:T49-N52:T52)*100</f>
        <v>12250</v>
      </c>
      <c r="U53" s="98"/>
      <c r="V53" s="99"/>
    </row>
    <row r="54" spans="2:22" ht="12.75" customHeight="1" thickBot="1">
      <c r="B54" s="12" t="s">
        <v>22</v>
      </c>
      <c r="C54" s="17">
        <f>(C51:I51-C52:I52)/C53:I53*10000</f>
        <v>3.6101083032527149E-3</v>
      </c>
      <c r="D54" s="18">
        <f>(C51:I51-C52:I52)/C53:I53*10000</f>
        <v>0.76844783715012066</v>
      </c>
      <c r="E54" s="18">
        <f>(C51:I51-C52:I52)/C53:I53*10000</f>
        <v>0.38607594936708733</v>
      </c>
      <c r="F54" s="18">
        <f>(C51:I51-C52:I52)/C53:I53*100</f>
        <v>0.92063492063492458</v>
      </c>
      <c r="G54" s="18">
        <f>(C51:I51-C52:I52)/C53:I53*10000</f>
        <v>0.61674917491749148</v>
      </c>
      <c r="H54" s="18">
        <f>(C51:I51-C52:I52)/C53:I53*10000</f>
        <v>0.32638888888888445</v>
      </c>
      <c r="I54" s="62">
        <f>(C51:I51-C52:I52)/C53:I53*10000</f>
        <v>0.37226277372262906</v>
      </c>
      <c r="J54" s="104"/>
      <c r="K54" s="105"/>
      <c r="L54" s="56"/>
      <c r="M54" s="12" t="s">
        <v>22</v>
      </c>
      <c r="N54" s="17">
        <f>(N51:T51-N52:T52)/N53:T53*100</f>
        <v>0.70219435736677205</v>
      </c>
      <c r="O54" s="18">
        <f>(N51:T51-N52:T52)/N53:T53*100</f>
        <v>0.79661016949152363</v>
      </c>
      <c r="P54" s="18">
        <f>(N51:T51-N52:T52)/N53:T53*100</f>
        <v>0.89583333333333359</v>
      </c>
      <c r="Q54" s="18">
        <f>(N51:T51-N52:T52)/N53:T53*100</f>
        <v>0.87786259541984735</v>
      </c>
      <c r="R54" s="18">
        <f>(N51:T51-N52:T52)/N53:T53*100</f>
        <v>0.93220338983050854</v>
      </c>
      <c r="S54" s="18">
        <f>(N51:T51-N52:T52)/N53:T53*100</f>
        <v>0.85000000000000009</v>
      </c>
      <c r="T54" s="62">
        <f>(N51:T51-N52:T52)/N53:T53*100</f>
        <v>0.75918367346938775</v>
      </c>
      <c r="U54" s="98"/>
      <c r="V54" s="99"/>
    </row>
    <row r="55" spans="2:22" ht="12.75" customHeight="1">
      <c r="B55" s="19" t="s">
        <v>23</v>
      </c>
      <c r="C55" s="20" t="s">
        <v>26</v>
      </c>
      <c r="D55" s="21" t="s">
        <v>24</v>
      </c>
      <c r="E55" s="21" t="s">
        <v>25</v>
      </c>
      <c r="F55" s="21" t="s">
        <v>12</v>
      </c>
      <c r="G55" s="21" t="s">
        <v>9</v>
      </c>
      <c r="H55" s="21" t="s">
        <v>29</v>
      </c>
      <c r="I55" s="21" t="s">
        <v>49</v>
      </c>
      <c r="J55" s="104"/>
      <c r="K55" s="105"/>
      <c r="L55" s="56"/>
      <c r="M55" s="19" t="s">
        <v>23</v>
      </c>
      <c r="N55" s="20" t="s">
        <v>52</v>
      </c>
      <c r="O55" s="21" t="s">
        <v>53</v>
      </c>
      <c r="P55" s="21" t="s">
        <v>64</v>
      </c>
      <c r="Q55" s="21" t="s">
        <v>65</v>
      </c>
      <c r="R55" s="21" t="s">
        <v>66</v>
      </c>
      <c r="S55" s="21" t="s">
        <v>67</v>
      </c>
      <c r="T55" s="21" t="s">
        <v>68</v>
      </c>
      <c r="U55" s="98"/>
      <c r="V55" s="99"/>
    </row>
    <row r="56" spans="2:22" ht="12.75" customHeight="1">
      <c r="B56" s="22" t="s">
        <v>27</v>
      </c>
      <c r="C56" s="23">
        <f t="shared" ref="C56:I56" si="12">LOOKUP(100*C54,$Y5:$Y14,$Z5:$Z14)</f>
        <v>0</v>
      </c>
      <c r="D56" s="24">
        <f t="shared" si="12"/>
        <v>7</v>
      </c>
      <c r="E56" s="24">
        <f t="shared" si="12"/>
        <v>3</v>
      </c>
      <c r="F56" s="24">
        <f t="shared" si="12"/>
        <v>8</v>
      </c>
      <c r="G56" s="24">
        <f t="shared" si="12"/>
        <v>6</v>
      </c>
      <c r="H56" s="24">
        <f t="shared" si="12"/>
        <v>3</v>
      </c>
      <c r="I56" s="64">
        <f t="shared" si="12"/>
        <v>3</v>
      </c>
      <c r="J56" s="104"/>
      <c r="K56" s="105"/>
      <c r="L56" s="56"/>
      <c r="M56" s="22" t="s">
        <v>27</v>
      </c>
      <c r="N56" s="23">
        <f t="shared" ref="N56:T56" si="13">LOOKUP(100*N54,$Y5:$Y14,$Z5:$Z14)</f>
        <v>6</v>
      </c>
      <c r="O56" s="24">
        <f t="shared" si="13"/>
        <v>7</v>
      </c>
      <c r="P56" s="24">
        <f t="shared" si="13"/>
        <v>7</v>
      </c>
      <c r="Q56" s="24">
        <f t="shared" si="13"/>
        <v>7</v>
      </c>
      <c r="R56" s="24">
        <f t="shared" si="13"/>
        <v>8</v>
      </c>
      <c r="S56" s="24">
        <f t="shared" si="13"/>
        <v>7</v>
      </c>
      <c r="T56" s="64">
        <f t="shared" si="13"/>
        <v>7</v>
      </c>
      <c r="U56" s="98"/>
      <c r="V56" s="99"/>
    </row>
    <row r="57" spans="2:22" ht="13.5" customHeight="1">
      <c r="B57" s="25"/>
      <c r="C57" s="26" t="s">
        <v>12</v>
      </c>
      <c r="D57" s="27" t="s">
        <v>12</v>
      </c>
      <c r="E57" s="27" t="s">
        <v>12</v>
      </c>
      <c r="F57" s="27" t="s">
        <v>28</v>
      </c>
      <c r="G57" s="27" t="s">
        <v>12</v>
      </c>
      <c r="H57" s="27" t="s">
        <v>12</v>
      </c>
      <c r="I57" s="65" t="s">
        <v>12</v>
      </c>
      <c r="J57" s="104"/>
      <c r="K57" s="105"/>
      <c r="L57" s="56"/>
      <c r="M57" s="25"/>
      <c r="N57" s="26" t="s">
        <v>52</v>
      </c>
      <c r="O57" s="27" t="s">
        <v>53</v>
      </c>
      <c r="P57" s="27" t="s">
        <v>64</v>
      </c>
      <c r="Q57" s="27" t="s">
        <v>65</v>
      </c>
      <c r="R57" s="27" t="s">
        <v>66</v>
      </c>
      <c r="S57" s="27" t="s">
        <v>67</v>
      </c>
      <c r="T57" s="65" t="s">
        <v>68</v>
      </c>
      <c r="U57" s="98"/>
      <c r="V57" s="99"/>
    </row>
    <row r="58" spans="2:22" ht="12.75" customHeight="1" thickBot="1">
      <c r="B58" s="28"/>
      <c r="C58" s="74">
        <f t="shared" ref="C58:I58" si="14">9-C56</f>
        <v>9</v>
      </c>
      <c r="D58" s="57">
        <f t="shared" si="14"/>
        <v>2</v>
      </c>
      <c r="E58" s="57">
        <f t="shared" si="14"/>
        <v>6</v>
      </c>
      <c r="F58" s="57">
        <f t="shared" si="14"/>
        <v>1</v>
      </c>
      <c r="G58" s="57">
        <f t="shared" si="14"/>
        <v>3</v>
      </c>
      <c r="H58" s="57">
        <f t="shared" si="14"/>
        <v>6</v>
      </c>
      <c r="I58" s="75">
        <f t="shared" si="14"/>
        <v>6</v>
      </c>
      <c r="J58" s="106"/>
      <c r="K58" s="107"/>
      <c r="L58" s="56"/>
      <c r="M58" s="28"/>
      <c r="N58" s="74">
        <f t="shared" ref="N58:T58" si="15">9-N56</f>
        <v>3</v>
      </c>
      <c r="O58" s="57">
        <f t="shared" si="15"/>
        <v>2</v>
      </c>
      <c r="P58" s="57">
        <f t="shared" si="15"/>
        <v>2</v>
      </c>
      <c r="Q58" s="57">
        <f t="shared" si="15"/>
        <v>2</v>
      </c>
      <c r="R58" s="57">
        <f t="shared" si="15"/>
        <v>1</v>
      </c>
      <c r="S58" s="57">
        <f t="shared" si="15"/>
        <v>2</v>
      </c>
      <c r="T58" s="75">
        <f t="shared" si="15"/>
        <v>2</v>
      </c>
      <c r="U58" s="100"/>
      <c r="V58" s="101"/>
    </row>
    <row r="59" spans="2:22" ht="13.5" customHeight="1">
      <c r="B59" s="70" t="s">
        <v>35</v>
      </c>
      <c r="C59" s="76">
        <f>IF(AND(D83&gt;=7.1,G83&lt;=2),1,10)</f>
        <v>10</v>
      </c>
      <c r="D59" s="76">
        <f>IF(AND(E83&gt;=7.1,G83&lt;=2),1,10)</f>
        <v>10</v>
      </c>
      <c r="E59" s="76">
        <f>IF(AND(I83&gt;=7.1,G83&lt;=2),1,10)</f>
        <v>10</v>
      </c>
      <c r="F59" s="76">
        <f>IF(AND(G83&gt;=7.1,J83&lt;=2),1,10)</f>
        <v>10</v>
      </c>
      <c r="G59" s="76">
        <f>IF(AND(F83&gt;=7.1,G83&lt;=2),1,10)</f>
        <v>10</v>
      </c>
      <c r="H59" s="76">
        <f>IF(AND(H83&gt;=7.1,G83&lt;=2),1,10)</f>
        <v>10</v>
      </c>
      <c r="I59" s="76">
        <f>IF(AND(K83&gt;=7.1,G83&lt;=2),1,10)</f>
        <v>10</v>
      </c>
      <c r="J59" s="72" t="s">
        <v>46</v>
      </c>
      <c r="K59" s="78" t="s">
        <v>54</v>
      </c>
      <c r="L59" s="56"/>
      <c r="M59" s="70" t="s">
        <v>35</v>
      </c>
      <c r="N59" s="76">
        <f>IF(AND(C79&gt;=7.1,R83&lt;=2),1,10)</f>
        <v>10</v>
      </c>
      <c r="O59" s="76">
        <f>IF(AND(P83&gt;=7.1,R83&lt;=2),1,10)</f>
        <v>10</v>
      </c>
      <c r="P59" s="76">
        <f>IF(AND(T83&gt;=7.1,R83&lt;=2),1,10)</f>
        <v>10</v>
      </c>
      <c r="Q59" s="76">
        <f>IF(AND(R83&gt;=7.1,U83&lt;=2),1,10)</f>
        <v>10</v>
      </c>
      <c r="R59" s="76">
        <f>IF(AND(Q83&gt;=7.1,R83&lt;=2),1,10)</f>
        <v>10</v>
      </c>
      <c r="S59" s="76">
        <f>IF(AND(S83&gt;=7.1,R83&lt;=2),1,10)</f>
        <v>10</v>
      </c>
      <c r="T59" s="76">
        <f>IF(AND(V83&gt;=7.1,R83&lt;=2),1,10)</f>
        <v>10</v>
      </c>
      <c r="U59" s="72" t="s">
        <v>46</v>
      </c>
      <c r="V59" s="78" t="s">
        <v>54</v>
      </c>
    </row>
    <row r="60" spans="2:22" ht="12.75" customHeight="1">
      <c r="B60" s="71" t="s">
        <v>36</v>
      </c>
      <c r="C60" s="76">
        <f>IF(AND(D83&lt;=2,G83&gt;=7.1),1,10)</f>
        <v>10</v>
      </c>
      <c r="D60" s="76">
        <f>IF(AND(E83&lt;=2,G83&gt;=7.1),1,10)</f>
        <v>10</v>
      </c>
      <c r="E60" s="76">
        <f>IF(AND(I82&lt;=2,G83&gt;=7.1),1,10)</f>
        <v>10</v>
      </c>
      <c r="F60" s="76">
        <f>IF(AND(G83&lt;=2,J83&gt;=7.1),1,10)</f>
        <v>10</v>
      </c>
      <c r="G60" s="76">
        <f>IF(AND(F83&lt;=2,G83&gt;=7.1),1,10)</f>
        <v>10</v>
      </c>
      <c r="H60" s="76">
        <f>IF(AND(H83&lt;=2,G83&gt;=7.1),1,10)</f>
        <v>10</v>
      </c>
      <c r="I60" s="76">
        <f>IF(AND(K83&lt;=2,G83&gt;=7.1),1,10)</f>
        <v>10</v>
      </c>
      <c r="J60" s="73" t="s">
        <v>47</v>
      </c>
      <c r="K60" s="77" t="s">
        <v>55</v>
      </c>
      <c r="L60" s="56"/>
      <c r="M60" s="71" t="s">
        <v>36</v>
      </c>
      <c r="N60" s="76">
        <f>IF(AND(C79&lt;=2,R83&gt;=7.1),1,10)</f>
        <v>10</v>
      </c>
      <c r="O60" s="76">
        <f>IF(AND(P83&lt;=2,R83&gt;=7.1),1,10)</f>
        <v>10</v>
      </c>
      <c r="P60" s="76">
        <f>IF(AND(T82&lt;=2,R83&gt;=7.1),1,10)</f>
        <v>10</v>
      </c>
      <c r="Q60" s="76">
        <f>IF(AND(R83&lt;=2,U83&gt;=7.1),1,10)</f>
        <v>10</v>
      </c>
      <c r="R60" s="76">
        <f>IF(AND(Q83&lt;=2,R83&gt;=7.1),1,10)</f>
        <v>10</v>
      </c>
      <c r="S60" s="76">
        <f>IF(AND(S83&lt;=2,R83&gt;=7.1),1,10)</f>
        <v>10</v>
      </c>
      <c r="T60" s="76">
        <f>IF(AND(V83&lt;=2,R83&gt;=7.1),1,10)</f>
        <v>10</v>
      </c>
      <c r="U60" s="73" t="s">
        <v>47</v>
      </c>
      <c r="V60" s="77" t="s">
        <v>55</v>
      </c>
    </row>
    <row r="61" spans="2:22" ht="12.75" customHeight="1">
      <c r="B61" s="67"/>
      <c r="C61" s="56"/>
      <c r="D61" s="56"/>
      <c r="E61" s="56"/>
      <c r="F61" s="56"/>
      <c r="G61" s="56"/>
      <c r="H61" s="56"/>
      <c r="I61" s="56"/>
      <c r="J61" s="66"/>
      <c r="K61" s="56"/>
      <c r="L61" s="56"/>
      <c r="M61" s="56"/>
      <c r="N61" s="56"/>
      <c r="O61" s="56"/>
    </row>
    <row r="62" spans="2:22" ht="12.75" customHeight="1" thickBot="1">
      <c r="B62" s="94" t="s">
        <v>28</v>
      </c>
      <c r="E62" s="50"/>
      <c r="I62" s="50"/>
      <c r="K62" s="79"/>
      <c r="L62" s="56"/>
      <c r="M62" s="56"/>
      <c r="N62" s="56"/>
      <c r="O62" s="56"/>
    </row>
    <row r="63" spans="2:22" ht="12.75" customHeight="1" thickBot="1">
      <c r="B63" s="95"/>
      <c r="C63" s="4" t="s">
        <v>16</v>
      </c>
      <c r="D63" s="5" t="s">
        <v>18</v>
      </c>
      <c r="E63" s="5" t="s">
        <v>37</v>
      </c>
      <c r="F63" s="5" t="s">
        <v>42</v>
      </c>
      <c r="G63" s="5" t="s">
        <v>8</v>
      </c>
      <c r="H63" s="5" t="s">
        <v>41</v>
      </c>
      <c r="I63" s="5" t="s">
        <v>51</v>
      </c>
      <c r="J63" s="102" t="s">
        <v>28</v>
      </c>
      <c r="K63" s="103"/>
      <c r="L63" s="56"/>
      <c r="M63" s="56"/>
      <c r="N63" s="56"/>
      <c r="O63" s="56"/>
    </row>
    <row r="64" spans="2:22" ht="12.75" customHeight="1">
      <c r="B64" s="6" t="s">
        <v>6</v>
      </c>
      <c r="C64" s="7">
        <f>[1]!USDJPY</f>
        <v>86.88</v>
      </c>
      <c r="D64" s="8">
        <f>[1]!EURJPY</f>
        <v>114.169</v>
      </c>
      <c r="E64" s="8">
        <f>[1]!AUDJPY</f>
        <v>79.3</v>
      </c>
      <c r="F64" s="8">
        <f>[1]!CHFJPY</f>
        <v>83.42</v>
      </c>
      <c r="G64" s="8">
        <f>[1]!GBPJPY</f>
        <v>137.65299999999999</v>
      </c>
      <c r="H64" s="8">
        <f>[1]!CADJPY</f>
        <v>84.94</v>
      </c>
      <c r="I64" s="58">
        <f>[1]!NZDJPY</f>
        <v>63.71</v>
      </c>
      <c r="J64" s="104"/>
      <c r="K64" s="105"/>
      <c r="L64" s="56"/>
      <c r="M64" s="56"/>
      <c r="N64" s="56"/>
      <c r="O64" s="56"/>
    </row>
    <row r="65" spans="2:15" ht="12.75" customHeight="1">
      <c r="B65" s="9" t="s">
        <v>5</v>
      </c>
      <c r="C65" s="10">
        <f>[2]!USDJPY</f>
        <v>86.441000000000003</v>
      </c>
      <c r="D65" s="11">
        <f>[2]!EURJPY</f>
        <v>114.01600000000001</v>
      </c>
      <c r="E65" s="11">
        <f>[2]!AUDJPY</f>
        <v>78.98</v>
      </c>
      <c r="F65" s="11">
        <f>[2]!CHFJPY</f>
        <v>83.4</v>
      </c>
      <c r="G65" s="11">
        <f>[2]!GBPJPY</f>
        <v>137.43199999999999</v>
      </c>
      <c r="H65" s="11">
        <f>[2]!CADJPY</f>
        <v>84.6</v>
      </c>
      <c r="I65" s="59">
        <f>[2]!NZDJPY</f>
        <v>63.42</v>
      </c>
      <c r="J65" s="104"/>
      <c r="K65" s="105"/>
      <c r="L65" s="56"/>
      <c r="M65" s="56"/>
      <c r="N65" s="56"/>
      <c r="O65" s="56"/>
    </row>
    <row r="66" spans="2:15" ht="12.75" customHeight="1">
      <c r="B66" s="9" t="s">
        <v>4</v>
      </c>
      <c r="C66" s="10">
        <f>[3]!USDJPY</f>
        <v>86.433000000000007</v>
      </c>
      <c r="D66" s="11">
        <f>[3]!EURJPY</f>
        <v>113.988</v>
      </c>
      <c r="E66" s="11">
        <f>[3]!AUDJPY</f>
        <v>78.95</v>
      </c>
      <c r="F66" s="11">
        <f>[3]!CHFJPY</f>
        <v>83.37</v>
      </c>
      <c r="G66" s="11">
        <f>[3]!GBPJPY</f>
        <v>137.37100000000001</v>
      </c>
      <c r="H66" s="11">
        <f>[3]!CADJPY</f>
        <v>84.56</v>
      </c>
      <c r="I66" s="59">
        <f>[3]!NZDJPY</f>
        <v>63.39</v>
      </c>
      <c r="J66" s="104"/>
      <c r="K66" s="105"/>
      <c r="L66" s="56"/>
      <c r="M66" s="56"/>
      <c r="N66" s="56"/>
      <c r="O66" s="56"/>
    </row>
    <row r="67" spans="2:15" ht="12.75" customHeight="1" thickBot="1">
      <c r="B67" s="12" t="s">
        <v>7</v>
      </c>
      <c r="C67" s="13">
        <f>[4]!USDJPY</f>
        <v>86.320999999999998</v>
      </c>
      <c r="D67" s="14">
        <f>[4]!EURJPY</f>
        <v>112.70699999999999</v>
      </c>
      <c r="E67" s="14">
        <f>[4]!AUDJPY</f>
        <v>78.08</v>
      </c>
      <c r="F67" s="14">
        <f>[4]!CHFJPY</f>
        <v>82.79</v>
      </c>
      <c r="G67" s="14">
        <f>[4]!GBPJPY</f>
        <v>135.495</v>
      </c>
      <c r="H67" s="14">
        <f>[4]!CADJPY</f>
        <v>83.84</v>
      </c>
      <c r="I67" s="60">
        <f>[4]!NZDJPY</f>
        <v>62.65</v>
      </c>
      <c r="J67" s="104"/>
      <c r="K67" s="105"/>
      <c r="L67" s="56"/>
      <c r="M67" s="56"/>
      <c r="N67" s="56"/>
      <c r="O67" s="56"/>
    </row>
    <row r="68" spans="2:15" ht="12.75" customHeight="1">
      <c r="B68" s="6" t="s">
        <v>21</v>
      </c>
      <c r="C68" s="15">
        <f>(C64:I64-C67:I67)*100</f>
        <v>55.89999999999975</v>
      </c>
      <c r="D68" s="16">
        <f>(C64:I64-C67:I67)*100</f>
        <v>146.20000000000033</v>
      </c>
      <c r="E68" s="16">
        <f>(C64:I64-C67:I67)*100</f>
        <v>121.99999999999989</v>
      </c>
      <c r="F68" s="16">
        <f>(C64:I64-C67:I67)*100</f>
        <v>62.999999999999545</v>
      </c>
      <c r="G68" s="16">
        <f>(C64:I64-C67:I67)*100</f>
        <v>215.7999999999987</v>
      </c>
      <c r="H68" s="16">
        <f>(C64:I64-C67:I67)*100</f>
        <v>109.99999999999943</v>
      </c>
      <c r="I68" s="61">
        <f>(C64:I64-C67:I67)*100</f>
        <v>106.00000000000023</v>
      </c>
      <c r="J68" s="104"/>
      <c r="K68" s="105"/>
      <c r="L68" s="56"/>
      <c r="M68" s="56"/>
      <c r="N68" s="56"/>
      <c r="O68" s="56"/>
    </row>
    <row r="69" spans="2:15" ht="12.75" customHeight="1" thickBot="1">
      <c r="B69" s="12" t="s">
        <v>22</v>
      </c>
      <c r="C69" s="17">
        <f>(C66:I66-C67:I67)/C68:I68*100</f>
        <v>0.20035778175314756</v>
      </c>
      <c r="D69" s="18">
        <f>(C66:I66-C67:I67)/C68:I68*100</f>
        <v>0.87619699042407861</v>
      </c>
      <c r="E69" s="18">
        <f>(C66:I66-C67:I67)/C68:I68*100</f>
        <v>0.713114754098365</v>
      </c>
      <c r="F69" s="18">
        <f>(C66:I66-C67:I67)/C68:I68*100</f>
        <v>0.92063492063492458</v>
      </c>
      <c r="G69" s="18">
        <f>(C66:I66-C67:I67)/C68:I68*100</f>
        <v>0.8693234476367081</v>
      </c>
      <c r="H69" s="18">
        <f>(C66:I66-C67:I67)/C68:I68*100</f>
        <v>0.65454545454545687</v>
      </c>
      <c r="I69" s="62">
        <f>(C66:I66-C67:I67)/C68:I68*100</f>
        <v>0.69811320754717021</v>
      </c>
      <c r="J69" s="104"/>
      <c r="K69" s="105"/>
      <c r="L69" s="56"/>
      <c r="M69" s="56"/>
      <c r="N69" s="56"/>
      <c r="O69" s="56"/>
    </row>
    <row r="70" spans="2:15" ht="12.75" customHeight="1">
      <c r="B70" s="19" t="s">
        <v>23</v>
      </c>
      <c r="C70" s="20" t="s">
        <v>26</v>
      </c>
      <c r="D70" s="21" t="s">
        <v>24</v>
      </c>
      <c r="E70" s="21" t="s">
        <v>25</v>
      </c>
      <c r="F70" s="21" t="s">
        <v>12</v>
      </c>
      <c r="G70" s="21" t="s">
        <v>9</v>
      </c>
      <c r="H70" s="21" t="s">
        <v>29</v>
      </c>
      <c r="I70" s="21" t="s">
        <v>49</v>
      </c>
      <c r="J70" s="104"/>
      <c r="K70" s="105"/>
      <c r="L70" s="56"/>
      <c r="M70" s="56"/>
      <c r="N70" s="56"/>
      <c r="O70" s="56"/>
    </row>
    <row r="71" spans="2:15" ht="12.75" customHeight="1">
      <c r="B71" s="22" t="s">
        <v>27</v>
      </c>
      <c r="C71" s="23">
        <f t="shared" ref="C71:I71" si="16">LOOKUP(100*C69,$Y5:$Y14,$Z5:$Z14)</f>
        <v>2</v>
      </c>
      <c r="D71" s="24">
        <f t="shared" si="16"/>
        <v>7</v>
      </c>
      <c r="E71" s="24">
        <f t="shared" si="16"/>
        <v>6</v>
      </c>
      <c r="F71" s="24">
        <f t="shared" si="16"/>
        <v>8</v>
      </c>
      <c r="G71" s="24">
        <f t="shared" si="16"/>
        <v>7</v>
      </c>
      <c r="H71" s="24">
        <f t="shared" si="16"/>
        <v>6</v>
      </c>
      <c r="I71" s="64">
        <f t="shared" si="16"/>
        <v>6</v>
      </c>
      <c r="J71" s="104"/>
      <c r="K71" s="105"/>
      <c r="L71" s="56"/>
      <c r="M71" s="56"/>
      <c r="N71" s="56"/>
      <c r="O71" s="56"/>
    </row>
    <row r="72" spans="2:15" ht="12.75" customHeight="1">
      <c r="B72" s="25"/>
      <c r="C72" s="26" t="s">
        <v>28</v>
      </c>
      <c r="D72" s="27" t="s">
        <v>28</v>
      </c>
      <c r="E72" s="27" t="s">
        <v>28</v>
      </c>
      <c r="F72" s="27" t="s">
        <v>28</v>
      </c>
      <c r="G72" s="27" t="s">
        <v>28</v>
      </c>
      <c r="H72" s="27" t="s">
        <v>28</v>
      </c>
      <c r="I72" s="65" t="s">
        <v>28</v>
      </c>
      <c r="J72" s="104"/>
      <c r="K72" s="105"/>
      <c r="L72" s="56"/>
      <c r="M72" s="56"/>
      <c r="N72" s="56"/>
      <c r="O72" s="56"/>
    </row>
    <row r="73" spans="2:15" ht="12.75" customHeight="1" thickBot="1">
      <c r="B73" s="28"/>
      <c r="C73" s="74">
        <f t="shared" ref="C73:I73" si="17">9-C71</f>
        <v>7</v>
      </c>
      <c r="D73" s="57">
        <f t="shared" si="17"/>
        <v>2</v>
      </c>
      <c r="E73" s="57">
        <f t="shared" si="17"/>
        <v>3</v>
      </c>
      <c r="F73" s="57">
        <f t="shared" si="17"/>
        <v>1</v>
      </c>
      <c r="G73" s="57">
        <f t="shared" si="17"/>
        <v>2</v>
      </c>
      <c r="H73" s="57">
        <f t="shared" si="17"/>
        <v>3</v>
      </c>
      <c r="I73" s="75">
        <f t="shared" si="17"/>
        <v>3</v>
      </c>
      <c r="J73" s="106"/>
      <c r="K73" s="107"/>
      <c r="L73" s="56"/>
      <c r="M73" s="56"/>
      <c r="N73" s="56"/>
      <c r="O73" s="56"/>
    </row>
    <row r="74" spans="2:15" ht="12.75" customHeight="1">
      <c r="B74" s="70" t="s">
        <v>35</v>
      </c>
      <c r="C74" s="76">
        <f>IF(AND(D83&gt;=7.1,J83&lt;=2),1,10)</f>
        <v>10</v>
      </c>
      <c r="D74" s="76">
        <f>IF(AND(E83&gt;=7.1,J83&lt;=2),1,10)</f>
        <v>10</v>
      </c>
      <c r="E74" s="76">
        <f>IF(AND(I83&gt;=7.1,J83&lt;=2),1,10)</f>
        <v>10</v>
      </c>
      <c r="F74" s="76">
        <f>IF(AND(G83&gt;=7.1,J83&lt;=2),1,10)</f>
        <v>10</v>
      </c>
      <c r="G74" s="76">
        <f>IF(AND(F83&gt;=7.1,J83&lt;=2),1,10)</f>
        <v>10</v>
      </c>
      <c r="H74" s="76">
        <f>IF(AND(H83&gt;=7.1,J83&lt;=2),1,10)</f>
        <v>10</v>
      </c>
      <c r="I74" s="76">
        <f>IF(AND(K83&gt;=7.1,J83&lt;=2),1,10)</f>
        <v>10</v>
      </c>
      <c r="J74" s="72" t="s">
        <v>46</v>
      </c>
      <c r="K74" s="78" t="s">
        <v>54</v>
      </c>
      <c r="L74" s="56"/>
      <c r="M74" s="56"/>
      <c r="N74" s="56"/>
      <c r="O74" s="56"/>
    </row>
    <row r="75" spans="2:15" ht="12.75" customHeight="1">
      <c r="B75" s="71" t="s">
        <v>36</v>
      </c>
      <c r="C75" s="76">
        <f>IF(AND(D83&lt;=2,J83&gt;=7.1),1,10)</f>
        <v>10</v>
      </c>
      <c r="D75" s="76">
        <f>IF(AND(E83&lt;=2,J83&gt;=7.1),1,10)</f>
        <v>10</v>
      </c>
      <c r="E75" s="76">
        <f>IF(AND(I83&lt;=2,J83&gt;=7.1),1,10)</f>
        <v>10</v>
      </c>
      <c r="F75" s="76">
        <f>IF(AND(G83&lt;=2,J83&gt;=7.1),1,10)</f>
        <v>10</v>
      </c>
      <c r="G75" s="76">
        <f>IF(AND(F83&lt;=2,J83&gt;=7.1),1,10)</f>
        <v>10</v>
      </c>
      <c r="H75" s="76">
        <f>IF(AND(H83&lt;=2,J83&gt;=7.1),1,10)</f>
        <v>10</v>
      </c>
      <c r="I75" s="76">
        <f>IF(AND(K83&lt;=2,J83&gt;=7.1),1,10)</f>
        <v>10</v>
      </c>
      <c r="J75" s="73" t="s">
        <v>47</v>
      </c>
      <c r="K75" s="77" t="s">
        <v>55</v>
      </c>
      <c r="L75" s="56"/>
      <c r="M75" s="56"/>
      <c r="N75" s="56"/>
      <c r="O75" s="56"/>
    </row>
    <row r="76" spans="2:15" ht="12.75" customHeight="1">
      <c r="B76" s="67"/>
      <c r="C76" s="56"/>
      <c r="D76" s="56"/>
      <c r="E76" s="56"/>
      <c r="F76" s="56"/>
      <c r="G76" s="56"/>
      <c r="H76" s="56"/>
      <c r="I76" s="56"/>
      <c r="J76" s="66"/>
      <c r="K76" s="56"/>
      <c r="L76" s="56"/>
      <c r="M76" s="56"/>
      <c r="N76" s="56"/>
      <c r="O76" s="56"/>
    </row>
    <row r="77" spans="2:15" ht="12.75" customHeight="1" thickBot="1">
      <c r="B77" s="67"/>
      <c r="C77" s="56"/>
      <c r="D77" s="56"/>
      <c r="E77" s="56"/>
      <c r="F77" s="56"/>
      <c r="G77" s="56"/>
      <c r="H77" s="56"/>
      <c r="I77" s="56"/>
      <c r="J77" s="66"/>
      <c r="K77" s="56"/>
      <c r="L77" s="56"/>
      <c r="M77" s="56"/>
      <c r="N77" s="56"/>
      <c r="O77" s="56"/>
    </row>
    <row r="78" spans="2:15" ht="12.75" customHeight="1">
      <c r="B78" s="67"/>
      <c r="C78" s="49" t="s">
        <v>0</v>
      </c>
      <c r="D78" s="56"/>
      <c r="E78" s="56"/>
      <c r="F78" s="56"/>
      <c r="G78" s="56"/>
      <c r="H78" s="56"/>
      <c r="I78" s="56"/>
      <c r="J78" s="66"/>
      <c r="K78" s="56"/>
      <c r="L78" s="56"/>
      <c r="M78" s="56"/>
      <c r="N78" s="56"/>
      <c r="O78" s="56"/>
    </row>
    <row r="79" spans="2:15" ht="13.5" customHeight="1">
      <c r="B79" s="67"/>
      <c r="C79" s="38" t="s">
        <v>34</v>
      </c>
      <c r="D79" s="56"/>
      <c r="E79" s="56"/>
      <c r="F79" s="56"/>
      <c r="G79" s="56"/>
      <c r="H79" s="56"/>
      <c r="I79" s="56"/>
      <c r="J79" s="66"/>
      <c r="K79" s="56"/>
      <c r="L79" s="56"/>
      <c r="M79" s="56"/>
      <c r="N79" s="56"/>
      <c r="O79" s="56"/>
    </row>
    <row r="80" spans="2:15" ht="13.5" thickBot="1">
      <c r="B80" s="67"/>
      <c r="C80" s="37" t="s">
        <v>1</v>
      </c>
      <c r="D80" s="56"/>
      <c r="E80" s="56"/>
      <c r="F80" s="56"/>
      <c r="G80" s="56"/>
      <c r="H80" s="56"/>
      <c r="I80" s="56"/>
      <c r="J80" s="66"/>
      <c r="K80" s="56"/>
      <c r="L80" s="56"/>
      <c r="M80" s="56"/>
      <c r="N80" s="56"/>
      <c r="O80" s="56"/>
    </row>
    <row r="81" spans="1:26" ht="27" thickBot="1">
      <c r="C81" s="91" t="s">
        <v>2</v>
      </c>
      <c r="D81" s="108" t="s">
        <v>69</v>
      </c>
      <c r="E81" s="109"/>
      <c r="F81" s="109"/>
      <c r="G81" s="109"/>
      <c r="H81" s="109"/>
      <c r="I81" s="109"/>
      <c r="J81" s="109"/>
      <c r="K81" s="110"/>
      <c r="L81" s="111" t="s">
        <v>70</v>
      </c>
      <c r="M81" s="109"/>
      <c r="N81" s="110"/>
      <c r="O81" s="111" t="s">
        <v>71</v>
      </c>
      <c r="P81" s="109"/>
      <c r="Q81" s="109"/>
      <c r="R81" s="110"/>
    </row>
    <row r="82" spans="1:26" s="2" customFormat="1" ht="15.75">
      <c r="A82"/>
      <c r="B82" s="29" t="s">
        <v>30</v>
      </c>
      <c r="C82" s="30"/>
      <c r="D82" s="92" t="s">
        <v>26</v>
      </c>
      <c r="E82" s="92" t="s">
        <v>24</v>
      </c>
      <c r="F82" s="92" t="s">
        <v>9</v>
      </c>
      <c r="G82" s="92" t="s">
        <v>12</v>
      </c>
      <c r="H82" s="92" t="s">
        <v>29</v>
      </c>
      <c r="I82" s="92" t="s">
        <v>25</v>
      </c>
      <c r="J82" s="92" t="s">
        <v>28</v>
      </c>
      <c r="K82" s="92" t="s">
        <v>49</v>
      </c>
      <c r="L82" s="92" t="s">
        <v>52</v>
      </c>
      <c r="M82" s="92" t="s">
        <v>53</v>
      </c>
      <c r="N82" s="92" t="s">
        <v>64</v>
      </c>
      <c r="O82" s="92" t="s">
        <v>65</v>
      </c>
      <c r="P82" s="92" t="s">
        <v>66</v>
      </c>
      <c r="Q82" s="92" t="s">
        <v>67</v>
      </c>
      <c r="R82" s="92" t="s">
        <v>68</v>
      </c>
      <c r="X82"/>
      <c r="Y82" s="3"/>
      <c r="Z82" s="3"/>
    </row>
    <row r="83" spans="1:26" s="2" customFormat="1" ht="13.5" thickBot="1">
      <c r="A83"/>
      <c r="B83" s="28"/>
      <c r="C83" s="31"/>
      <c r="D83" s="32">
        <f>(C13+D13+E13+F11+G11+H11+I13)/7</f>
        <v>0.8571428571428571</v>
      </c>
      <c r="E83" s="32">
        <f>(C26+D26+E26+F26+G26+H26+I26)/7</f>
        <v>8</v>
      </c>
      <c r="F83" s="32">
        <f>(C41+D43+E41+F41+G41+H41+I41)/7</f>
        <v>6.5714285714285712</v>
      </c>
      <c r="G83" s="32">
        <f>(C58+D58+E58+F56+G58+H58+I58)/7</f>
        <v>5.7142857142857144</v>
      </c>
      <c r="H83" s="32">
        <f>(N28+O28+P28+Q26+R26+S28+T28)/7</f>
        <v>3.4285714285714284</v>
      </c>
      <c r="I83" s="32">
        <f>(N11+O13+P13+Q11+R11+S11+T11)/7</f>
        <v>4.1428571428571432</v>
      </c>
      <c r="J83" s="32">
        <f>(C73+D73+E73+F73+G73+H73+I73)/7</f>
        <v>3</v>
      </c>
      <c r="K83" s="32">
        <f>(N41+O41+P41+Q41+R43+S43+T43)/7</f>
        <v>4.7142857142857144</v>
      </c>
      <c r="L83" s="32">
        <f t="shared" ref="L83:R83" si="18">N56</f>
        <v>6</v>
      </c>
      <c r="M83" s="32">
        <f t="shared" si="18"/>
        <v>7</v>
      </c>
      <c r="N83" s="32">
        <f t="shared" si="18"/>
        <v>7</v>
      </c>
      <c r="O83" s="32">
        <f t="shared" si="18"/>
        <v>7</v>
      </c>
      <c r="P83" s="32">
        <f t="shared" si="18"/>
        <v>8</v>
      </c>
      <c r="Q83" s="32">
        <f t="shared" si="18"/>
        <v>7</v>
      </c>
      <c r="R83" s="32">
        <f t="shared" si="18"/>
        <v>7</v>
      </c>
      <c r="X83"/>
      <c r="Y83" s="3"/>
      <c r="Z83" s="3"/>
    </row>
    <row r="84" spans="1:26" s="2" customFormat="1" ht="13.5" thickBot="1">
      <c r="A84"/>
      <c r="B84" s="33"/>
      <c r="C84" s="34" t="s">
        <v>31</v>
      </c>
      <c r="D84" s="35">
        <v>7</v>
      </c>
      <c r="E84" s="35">
        <v>7</v>
      </c>
      <c r="F84" s="35">
        <v>7</v>
      </c>
      <c r="G84" s="35">
        <v>7</v>
      </c>
      <c r="H84" s="35">
        <v>7</v>
      </c>
      <c r="I84" s="35">
        <v>7</v>
      </c>
      <c r="J84" s="36">
        <v>7</v>
      </c>
      <c r="K84" s="36">
        <v>7</v>
      </c>
      <c r="L84" s="36">
        <v>1</v>
      </c>
      <c r="M84" s="36">
        <v>1</v>
      </c>
      <c r="N84" s="36">
        <v>1</v>
      </c>
      <c r="O84" s="36">
        <v>1</v>
      </c>
      <c r="P84" s="36">
        <v>1</v>
      </c>
      <c r="Q84" s="36">
        <v>1</v>
      </c>
      <c r="R84" s="36">
        <v>1</v>
      </c>
      <c r="X84"/>
      <c r="Y84" s="3"/>
      <c r="Z84" s="3"/>
    </row>
    <row r="85" spans="1:26" s="2" customFormat="1">
      <c r="A85"/>
      <c r="B85"/>
      <c r="M85" s="45"/>
      <c r="N85" s="44"/>
      <c r="X85"/>
      <c r="Y85" s="3"/>
      <c r="Z85" s="3"/>
    </row>
    <row r="86" spans="1:26" s="2" customFormat="1">
      <c r="A86"/>
      <c r="B86"/>
      <c r="X86"/>
      <c r="Y86" s="3"/>
      <c r="Z86" s="3"/>
    </row>
    <row r="87" spans="1:26" s="2" customFormat="1">
      <c r="A87"/>
      <c r="B87"/>
      <c r="X87"/>
      <c r="Y87" s="3"/>
      <c r="Z87" s="3"/>
    </row>
    <row r="88" spans="1:26" s="2" customFormat="1">
      <c r="A88"/>
      <c r="B88" t="s">
        <v>32</v>
      </c>
      <c r="X88"/>
      <c r="Y88" s="3"/>
      <c r="Z88" s="3"/>
    </row>
    <row r="89" spans="1:26" s="2" customFormat="1">
      <c r="A89"/>
      <c r="B89" t="s">
        <v>33</v>
      </c>
      <c r="X89"/>
      <c r="Y89" s="3"/>
      <c r="Z89" s="3"/>
    </row>
    <row r="90" spans="1:26" s="2" customFormat="1" ht="15">
      <c r="A90"/>
      <c r="B90" s="112"/>
      <c r="C90" s="112"/>
      <c r="X90"/>
      <c r="Y90" s="3"/>
      <c r="Z90" s="3"/>
    </row>
    <row r="91" spans="1:26" s="2" customFormat="1">
      <c r="A91"/>
      <c r="B91"/>
      <c r="X91"/>
      <c r="Y91" s="3"/>
      <c r="Z91" s="3"/>
    </row>
    <row r="92" spans="1:26" s="2" customFormat="1">
      <c r="A92"/>
      <c r="B92"/>
      <c r="X92"/>
      <c r="Y92" s="3"/>
      <c r="Z92" s="3"/>
    </row>
    <row r="93" spans="1:26" s="2" customFormat="1">
      <c r="A93"/>
      <c r="B93"/>
      <c r="X93"/>
      <c r="Y93" s="3"/>
      <c r="Z93" s="3"/>
    </row>
    <row r="94" spans="1:26" s="2" customFormat="1">
      <c r="A94"/>
      <c r="B94"/>
      <c r="X94"/>
      <c r="Y94" s="3"/>
      <c r="Z94" s="3"/>
    </row>
    <row r="95" spans="1:26" s="2" customFormat="1">
      <c r="A95"/>
      <c r="B95"/>
      <c r="X95"/>
      <c r="Y95" s="3"/>
      <c r="Z95" s="3"/>
    </row>
    <row r="96" spans="1:26" s="2" customFormat="1">
      <c r="A96"/>
      <c r="B96"/>
      <c r="X96"/>
      <c r="Y96" s="3"/>
      <c r="Z96" s="3"/>
    </row>
    <row r="97" spans="1:26" s="2" customFormat="1">
      <c r="A97" s="80"/>
      <c r="B97" s="80"/>
      <c r="C97" s="81"/>
      <c r="D97" s="81"/>
      <c r="E97" s="81"/>
      <c r="X97"/>
      <c r="Y97" s="3"/>
      <c r="Z97" s="3"/>
    </row>
    <row r="98" spans="1:26" s="2" customFormat="1">
      <c r="A98" s="80"/>
      <c r="B98" s="82"/>
      <c r="C98" s="52"/>
      <c r="D98" s="52"/>
      <c r="E98" s="81"/>
      <c r="X98"/>
      <c r="Y98" s="3"/>
      <c r="Z98" s="3"/>
    </row>
    <row r="99" spans="1:26" s="2" customFormat="1">
      <c r="A99" s="80"/>
      <c r="C99" s="83"/>
      <c r="D99" s="83"/>
      <c r="E99" s="81"/>
      <c r="X99"/>
      <c r="Y99" s="3"/>
      <c r="Z99" s="3"/>
    </row>
    <row r="100" spans="1:26" s="2" customFormat="1">
      <c r="A100" s="80"/>
      <c r="C100" s="83"/>
      <c r="D100" s="83"/>
      <c r="E100" s="81"/>
      <c r="X100"/>
      <c r="Y100" s="3"/>
      <c r="Z100" s="3"/>
    </row>
    <row r="101" spans="1:26" s="2" customFormat="1">
      <c r="A101" s="80"/>
      <c r="C101" s="83"/>
      <c r="D101" s="83"/>
      <c r="E101" s="81"/>
      <c r="X101"/>
      <c r="Y101" s="3"/>
      <c r="Z101" s="3"/>
    </row>
    <row r="102" spans="1:26" s="2" customFormat="1">
      <c r="A102" s="80"/>
      <c r="C102" s="83"/>
      <c r="D102" s="83"/>
      <c r="E102" s="81"/>
      <c r="X102"/>
      <c r="Y102" s="3"/>
      <c r="Z102" s="3"/>
    </row>
    <row r="103" spans="1:26" s="2" customFormat="1">
      <c r="A103" s="80"/>
      <c r="C103" s="83"/>
      <c r="D103" s="83"/>
      <c r="E103" s="81"/>
      <c r="X103"/>
      <c r="Y103" s="3"/>
      <c r="Z103" s="3"/>
    </row>
    <row r="104" spans="1:26" s="2" customFormat="1">
      <c r="A104" s="80"/>
      <c r="C104" s="83"/>
      <c r="D104" s="83"/>
      <c r="E104" s="81"/>
      <c r="X104"/>
      <c r="Y104" s="3"/>
      <c r="Z104" s="3"/>
    </row>
    <row r="105" spans="1:26" s="2" customFormat="1">
      <c r="A105" s="80"/>
      <c r="C105" s="83"/>
      <c r="D105" s="83"/>
      <c r="E105" s="81"/>
      <c r="X105"/>
      <c r="Y105" s="3"/>
      <c r="Z105" s="3"/>
    </row>
    <row r="106" spans="1:26" s="2" customFormat="1">
      <c r="A106" s="80"/>
      <c r="C106" s="83"/>
      <c r="D106" s="83"/>
      <c r="E106" s="81"/>
      <c r="X106"/>
      <c r="Y106" s="3"/>
      <c r="Z106" s="3"/>
    </row>
    <row r="107" spans="1:26" s="2" customFormat="1">
      <c r="A107" s="80"/>
      <c r="C107" s="83"/>
      <c r="D107" s="83"/>
      <c r="E107" s="81"/>
      <c r="X107"/>
      <c r="Y107" s="3"/>
      <c r="Z107" s="3"/>
    </row>
    <row r="108" spans="1:26">
      <c r="A108" s="80"/>
      <c r="B108" s="2"/>
      <c r="C108" s="83"/>
      <c r="D108" s="83"/>
      <c r="E108" s="81"/>
      <c r="J108" s="48"/>
    </row>
    <row r="109" spans="1:26">
      <c r="A109" s="80"/>
      <c r="B109" s="2"/>
      <c r="C109" s="83"/>
      <c r="D109" s="83"/>
      <c r="E109" s="81"/>
      <c r="J109" s="48"/>
    </row>
    <row r="110" spans="1:26">
      <c r="A110" s="80"/>
      <c r="B110" s="2"/>
      <c r="C110" s="83"/>
      <c r="D110" s="83"/>
      <c r="E110" s="81"/>
      <c r="J110" s="48"/>
    </row>
    <row r="111" spans="1:26">
      <c r="A111" s="80"/>
      <c r="B111" s="2"/>
      <c r="C111" s="83"/>
      <c r="D111" s="83"/>
      <c r="E111" s="81"/>
      <c r="J111" s="48"/>
    </row>
    <row r="112" spans="1:26">
      <c r="A112" s="80"/>
      <c r="B112" s="2"/>
      <c r="C112" s="83"/>
      <c r="D112" s="83"/>
      <c r="E112" s="81"/>
      <c r="J112" s="48"/>
    </row>
    <row r="113" spans="1:5">
      <c r="A113" s="80"/>
      <c r="B113" s="2"/>
      <c r="C113" s="83"/>
      <c r="D113" s="83"/>
      <c r="E113" s="81"/>
    </row>
    <row r="114" spans="1:5">
      <c r="A114" s="80"/>
      <c r="B114" s="2"/>
      <c r="C114" s="83"/>
      <c r="D114" s="83"/>
      <c r="E114" s="81"/>
    </row>
    <row r="115" spans="1:5">
      <c r="A115" s="80"/>
      <c r="B115" s="2"/>
      <c r="C115" s="83"/>
      <c r="D115" s="83"/>
      <c r="E115" s="81"/>
    </row>
    <row r="116" spans="1:5">
      <c r="A116" s="80"/>
      <c r="B116" s="2"/>
      <c r="C116" s="83"/>
      <c r="D116" s="83"/>
      <c r="E116" s="81"/>
    </row>
    <row r="117" spans="1:5">
      <c r="A117" s="80"/>
      <c r="B117" s="2"/>
      <c r="C117" s="83"/>
      <c r="D117" s="83"/>
      <c r="E117" s="81"/>
    </row>
    <row r="118" spans="1:5">
      <c r="A118" s="80"/>
      <c r="B118" s="2"/>
      <c r="C118" s="83"/>
      <c r="D118" s="83"/>
      <c r="E118" s="81"/>
    </row>
    <row r="119" spans="1:5">
      <c r="A119" s="80"/>
      <c r="B119" s="2"/>
      <c r="C119" s="81"/>
      <c r="D119" s="81"/>
      <c r="E119" s="81"/>
    </row>
    <row r="120" spans="1:5">
      <c r="A120" s="80"/>
      <c r="B120" s="2"/>
      <c r="C120" s="83"/>
      <c r="D120" s="83"/>
      <c r="E120" s="81"/>
    </row>
    <row r="121" spans="1:5">
      <c r="A121" s="80"/>
      <c r="B121" s="2"/>
      <c r="C121" s="83"/>
      <c r="D121" s="83"/>
      <c r="E121" s="81"/>
    </row>
    <row r="122" spans="1:5">
      <c r="A122" s="80"/>
      <c r="B122" s="2"/>
      <c r="C122" s="83"/>
      <c r="D122" s="83"/>
      <c r="E122" s="81"/>
    </row>
    <row r="123" spans="1:5">
      <c r="A123" s="80"/>
      <c r="B123" s="84"/>
      <c r="C123" s="52"/>
      <c r="D123" s="52"/>
      <c r="E123" s="81"/>
    </row>
    <row r="124" spans="1:5">
      <c r="A124" s="80"/>
      <c r="B124" s="80"/>
      <c r="C124" s="81"/>
      <c r="D124" s="81"/>
      <c r="E124" s="81"/>
    </row>
  </sheetData>
  <mergeCells count="22">
    <mergeCell ref="J33:K43"/>
    <mergeCell ref="B47:B48"/>
    <mergeCell ref="J48:K58"/>
    <mergeCell ref="B62:B63"/>
    <mergeCell ref="J63:K73"/>
    <mergeCell ref="D81:K81"/>
    <mergeCell ref="L81:N81"/>
    <mergeCell ref="O81:R81"/>
    <mergeCell ref="B90:C90"/>
    <mergeCell ref="B2:B3"/>
    <mergeCell ref="J3:K13"/>
    <mergeCell ref="B17:B18"/>
    <mergeCell ref="J18:K28"/>
    <mergeCell ref="B32:B33"/>
    <mergeCell ref="M47:M48"/>
    <mergeCell ref="U48:V58"/>
    <mergeCell ref="M2:M3"/>
    <mergeCell ref="U3:V13"/>
    <mergeCell ref="M17:M18"/>
    <mergeCell ref="U18:V28"/>
    <mergeCell ref="M32:M33"/>
    <mergeCell ref="U33:V43"/>
  </mergeCells>
  <phoneticPr fontId="29" type="noConversion"/>
  <conditionalFormatting sqref="D83:J83">
    <cfRule type="cellIs" dxfId="56" priority="77" stopIfTrue="1" operator="greaterThan">
      <formula>7</formula>
    </cfRule>
    <cfRule type="cellIs" dxfId="55" priority="78" stopIfTrue="1" operator="between">
      <formula>5.000001</formula>
      <formula>7</formula>
    </cfRule>
    <cfRule type="cellIs" dxfId="54" priority="79" stopIfTrue="1" operator="lessThan">
      <formula>2.000001</formula>
    </cfRule>
  </conditionalFormatting>
  <conditionalFormatting sqref="C99 C103:C104 K108:K109 C112:C113">
    <cfRule type="cellIs" dxfId="53" priority="75" stopIfTrue="1" operator="equal">
      <formula>1</formula>
    </cfRule>
    <cfRule type="cellIs" dxfId="52" priority="76" stopIfTrue="1" operator="equal">
      <formula>10</formula>
    </cfRule>
  </conditionalFormatting>
  <conditionalFormatting sqref="D99 D103:D104 L108:L109 D112:D113">
    <cfRule type="cellIs" dxfId="51" priority="73" stopIfTrue="1" operator="equal">
      <formula>1</formula>
    </cfRule>
    <cfRule type="cellIs" dxfId="50" priority="74" stopIfTrue="1" operator="equal">
      <formula>10</formula>
    </cfRule>
  </conditionalFormatting>
  <conditionalFormatting sqref="D99:D118">
    <cfRule type="cellIs" dxfId="49" priority="71" stopIfTrue="1" operator="equal">
      <formula>1</formula>
    </cfRule>
    <cfRule type="cellIs" dxfId="48" priority="72" stopIfTrue="1" operator="equal">
      <formula>10</formula>
    </cfRule>
  </conditionalFormatting>
  <conditionalFormatting sqref="C99:C118">
    <cfRule type="cellIs" dxfId="47" priority="69" stopIfTrue="1" operator="equal">
      <formula>1</formula>
    </cfRule>
    <cfRule type="cellIs" dxfId="46" priority="70" stopIfTrue="1" operator="equal">
      <formula>10</formula>
    </cfRule>
  </conditionalFormatting>
  <conditionalFormatting sqref="D119">
    <cfRule type="cellIs" dxfId="45" priority="67" stopIfTrue="1" operator="equal">
      <formula>1</formula>
    </cfRule>
    <cfRule type="cellIs" dxfId="44" priority="68" stopIfTrue="1" operator="equal">
      <formula>10</formula>
    </cfRule>
  </conditionalFormatting>
  <conditionalFormatting sqref="C119">
    <cfRule type="cellIs" dxfId="43" priority="65" operator="equal">
      <formula>1</formula>
    </cfRule>
    <cfRule type="cellIs" dxfId="42" priority="66" operator="equal">
      <formula>10</formula>
    </cfRule>
  </conditionalFormatting>
  <conditionalFormatting sqref="K83">
    <cfRule type="cellIs" dxfId="41" priority="40" stopIfTrue="1" operator="greaterThan">
      <formula>7</formula>
    </cfRule>
    <cfRule type="cellIs" dxfId="40" priority="41" stopIfTrue="1" operator="between">
      <formula>5.000001</formula>
      <formula>7</formula>
    </cfRule>
    <cfRule type="cellIs" dxfId="39" priority="42" stopIfTrue="1" operator="lessThan">
      <formula>2.000001</formula>
    </cfRule>
  </conditionalFormatting>
  <conditionalFormatting sqref="D122">
    <cfRule type="cellIs" dxfId="38" priority="26" stopIfTrue="1" operator="equal">
      <formula>1</formula>
    </cfRule>
    <cfRule type="cellIs" dxfId="37" priority="27" stopIfTrue="1" operator="equal">
      <formula>10</formula>
    </cfRule>
  </conditionalFormatting>
  <conditionalFormatting sqref="C122">
    <cfRule type="cellIs" dxfId="36" priority="24" stopIfTrue="1" operator="equal">
      <formula>1</formula>
    </cfRule>
    <cfRule type="cellIs" dxfId="35" priority="25" stopIfTrue="1" operator="equal">
      <formula>10</formula>
    </cfRule>
  </conditionalFormatting>
  <conditionalFormatting sqref="C120">
    <cfRule type="cellIs" dxfId="34" priority="38" stopIfTrue="1" operator="equal">
      <formula>1</formula>
    </cfRule>
    <cfRule type="cellIs" dxfId="33" priority="39" stopIfTrue="1" operator="equal">
      <formula>10</formula>
    </cfRule>
  </conditionalFormatting>
  <conditionalFormatting sqref="D120">
    <cfRule type="cellIs" dxfId="32" priority="36" stopIfTrue="1" operator="equal">
      <formula>1</formula>
    </cfRule>
    <cfRule type="cellIs" dxfId="31" priority="37" stopIfTrue="1" operator="equal">
      <formula>10</formula>
    </cfRule>
  </conditionalFormatting>
  <conditionalFormatting sqref="D120">
    <cfRule type="cellIs" dxfId="30" priority="34" stopIfTrue="1" operator="equal">
      <formula>1</formula>
    </cfRule>
    <cfRule type="cellIs" dxfId="29" priority="35" stopIfTrue="1" operator="equal">
      <formula>10</formula>
    </cfRule>
  </conditionalFormatting>
  <conditionalFormatting sqref="C120">
    <cfRule type="cellIs" dxfId="28" priority="32" stopIfTrue="1" operator="equal">
      <formula>1</formula>
    </cfRule>
    <cfRule type="cellIs" dxfId="27" priority="33" stopIfTrue="1" operator="equal">
      <formula>10</formula>
    </cfRule>
  </conditionalFormatting>
  <conditionalFormatting sqref="D121">
    <cfRule type="cellIs" dxfId="26" priority="30" stopIfTrue="1" operator="equal">
      <formula>1</formula>
    </cfRule>
    <cfRule type="cellIs" dxfId="25" priority="31" stopIfTrue="1" operator="equal">
      <formula>10</formula>
    </cfRule>
  </conditionalFormatting>
  <conditionalFormatting sqref="C121">
    <cfRule type="cellIs" dxfId="24" priority="28" stopIfTrue="1" operator="equal">
      <formula>1</formula>
    </cfRule>
    <cfRule type="cellIs" dxfId="23" priority="29" stopIfTrue="1" operator="equal">
      <formula>10</formula>
    </cfRule>
  </conditionalFormatting>
  <conditionalFormatting sqref="L83">
    <cfRule type="cellIs" dxfId="22" priority="21" stopIfTrue="1" operator="greaterThan">
      <formula>7</formula>
    </cfRule>
    <cfRule type="cellIs" dxfId="21" priority="22" stopIfTrue="1" operator="between">
      <formula>5.000001</formula>
      <formula>7</formula>
    </cfRule>
    <cfRule type="cellIs" dxfId="20" priority="23" stopIfTrue="1" operator="lessThan">
      <formula>2.000001</formula>
    </cfRule>
  </conditionalFormatting>
  <conditionalFormatting sqref="M83">
    <cfRule type="cellIs" dxfId="19" priority="18" stopIfTrue="1" operator="greaterThan">
      <formula>7</formula>
    </cfRule>
    <cfRule type="cellIs" dxfId="18" priority="19" stopIfTrue="1" operator="between">
      <formula>5.000001</formula>
      <formula>7</formula>
    </cfRule>
    <cfRule type="cellIs" dxfId="17" priority="20" stopIfTrue="1" operator="lessThan">
      <formula>2.000001</formula>
    </cfRule>
  </conditionalFormatting>
  <conditionalFormatting sqref="L3">
    <cfRule type="cellIs" dxfId="16" priority="16" stopIfTrue="1" operator="equal">
      <formula>1</formula>
    </cfRule>
    <cfRule type="cellIs" dxfId="15" priority="17" stopIfTrue="1" operator="equal">
      <formula>10</formula>
    </cfRule>
  </conditionalFormatting>
  <conditionalFormatting sqref="N83">
    <cfRule type="cellIs" dxfId="14" priority="13" stopIfTrue="1" operator="greaterThan">
      <formula>7</formula>
    </cfRule>
    <cfRule type="cellIs" dxfId="13" priority="14" stopIfTrue="1" operator="between">
      <formula>5.000001</formula>
      <formula>7</formula>
    </cfRule>
    <cfRule type="cellIs" dxfId="12" priority="15" stopIfTrue="1" operator="lessThan">
      <formula>2.000001</formula>
    </cfRule>
  </conditionalFormatting>
  <conditionalFormatting sqref="O83">
    <cfRule type="cellIs" dxfId="11" priority="10" stopIfTrue="1" operator="greaterThan">
      <formula>7</formula>
    </cfRule>
    <cfRule type="cellIs" dxfId="10" priority="11" stopIfTrue="1" operator="between">
      <formula>5.000001</formula>
      <formula>7</formula>
    </cfRule>
    <cfRule type="cellIs" dxfId="9" priority="12" stopIfTrue="1" operator="lessThan">
      <formula>2.000001</formula>
    </cfRule>
  </conditionalFormatting>
  <conditionalFormatting sqref="P83">
    <cfRule type="cellIs" dxfId="8" priority="7" stopIfTrue="1" operator="greaterThan">
      <formula>7</formula>
    </cfRule>
    <cfRule type="cellIs" dxfId="7" priority="8" stopIfTrue="1" operator="between">
      <formula>5.000001</formula>
      <formula>7</formula>
    </cfRule>
    <cfRule type="cellIs" dxfId="6" priority="9" stopIfTrue="1" operator="lessThan">
      <formula>2.000001</formula>
    </cfRule>
  </conditionalFormatting>
  <conditionalFormatting sqref="Q83">
    <cfRule type="cellIs" dxfId="5" priority="4" stopIfTrue="1" operator="greaterThan">
      <formula>7</formula>
    </cfRule>
    <cfRule type="cellIs" dxfId="4" priority="5" stopIfTrue="1" operator="between">
      <formula>5.000001</formula>
      <formula>7</formula>
    </cfRule>
    <cfRule type="cellIs" dxfId="3" priority="6" stopIfTrue="1" operator="lessThan">
      <formula>2.000001</formula>
    </cfRule>
  </conditionalFormatting>
  <conditionalFormatting sqref="R83">
    <cfRule type="cellIs" dxfId="2" priority="1" stopIfTrue="1" operator="greaterThan">
      <formula>7</formula>
    </cfRule>
    <cfRule type="cellIs" dxfId="1" priority="2" stopIfTrue="1" operator="between">
      <formula>5.000001</formula>
      <formula>7</formula>
    </cfRule>
    <cfRule type="cellIs" dxfId="0" priority="3" stopIfTrue="1" operator="lessThan">
      <formula>2.000001</formula>
    </cfRule>
  </conditionalFormatting>
  <pageMargins left="0.75" right="0.75" top="1" bottom="1" header="0.5" footer="0.5"/>
  <pageSetup orientation="portrait" horizontalDpi="4294967294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4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ForexGrail</vt:lpstr>
      <vt:lpstr>Printout</vt:lpstr>
      <vt:lpstr>Total Strength</vt:lpstr>
      <vt:lpstr>My_version</vt:lpstr>
      <vt:lpstr>thelines</vt:lpstr>
      <vt:lpstr>Rubber Bands</vt:lpstr>
      <vt:lpstr>My_version!Bid</vt:lpstr>
      <vt:lpstr>My_version!High</vt:lpstr>
      <vt:lpstr>My_version!Low</vt:lpstr>
      <vt:lpstr>My_version!PIP_Range</vt:lpstr>
    </vt:vector>
  </TitlesOfParts>
  <Company>Fundamentalforex.com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SuperMatrix</dc:title>
  <dc:creator>Thomas Yeomans and friends</dc:creator>
  <cp:keywords>With Bid ratio</cp:keywords>
  <cp:lastModifiedBy>Michal</cp:lastModifiedBy>
  <cp:lastPrinted>2005-12-19T16:30:32Z</cp:lastPrinted>
  <dcterms:created xsi:type="dcterms:W3CDTF">2005-03-08T08:16:43Z</dcterms:created>
  <dcterms:modified xsi:type="dcterms:W3CDTF">2010-10-17T15:32:09Z</dcterms:modified>
</cp:coreProperties>
</file>